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FED874D3-CBA0-4BEE-9908-0B906F251645}" xr6:coauthVersionLast="47" xr6:coauthVersionMax="47" xr10:uidLastSave="{00000000-0000-0000-0000-000000000000}"/>
  <bookViews>
    <workbookView xWindow="-120" yWindow="-120" windowWidth="24240" windowHeight="13140" xr2:uid="{40748914-D153-4F17-8A3C-D79D143405B5}"/>
  </bookViews>
  <sheets>
    <sheet name="VIGENCIA 2018" sheetId="1" r:id="rId1"/>
  </sheets>
  <definedNames>
    <definedName name="_xlnm._FilterDatabase" localSheetId="0" hidden="1">'VIGENCIA 2018'!$A$2:$AT$198</definedName>
    <definedName name="_Hlk532191300" localSheetId="0">'VIGENCIA 2018'!$G$196</definedName>
    <definedName name="_xlnm.Print_Titles" localSheetId="0">'VIGENCIA 2018'!$2:$2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98" i="1" l="1"/>
  <c r="S197" i="1"/>
  <c r="Y196" i="1"/>
  <c r="X196" i="1"/>
  <c r="X195" i="1"/>
  <c r="X194" i="1"/>
  <c r="X193" i="1"/>
  <c r="AQ192" i="1"/>
  <c r="X192" i="1"/>
  <c r="AQ191" i="1"/>
  <c r="X191" i="1"/>
  <c r="AQ190" i="1"/>
  <c r="X190" i="1"/>
  <c r="X189" i="1"/>
  <c r="Y188" i="1"/>
  <c r="X188" i="1"/>
  <c r="S188" i="1"/>
  <c r="Q188" i="1"/>
  <c r="X187" i="1"/>
  <c r="X186" i="1"/>
  <c r="X185" i="1"/>
  <c r="X184" i="1"/>
  <c r="Q184" i="1"/>
  <c r="S184" i="1" s="1"/>
  <c r="Y183" i="1"/>
  <c r="X183" i="1"/>
  <c r="Q183" i="1"/>
  <c r="Y182" i="1"/>
  <c r="X182" i="1"/>
  <c r="Q182" i="1"/>
  <c r="S182" i="1" s="1"/>
  <c r="Y181" i="1"/>
  <c r="X181" i="1"/>
  <c r="Q181" i="1"/>
  <c r="S181" i="1" s="1"/>
  <c r="Y180" i="1"/>
  <c r="X180" i="1"/>
  <c r="S180" i="1"/>
  <c r="Y179" i="1"/>
  <c r="X179" i="1"/>
  <c r="S179" i="1"/>
  <c r="Q179" i="1"/>
  <c r="X178" i="1"/>
  <c r="S178" i="1"/>
  <c r="Q178" i="1"/>
  <c r="X177" i="1"/>
  <c r="Q177" i="1"/>
  <c r="S177" i="1" s="1"/>
  <c r="X176" i="1"/>
  <c r="Q176" i="1"/>
  <c r="S176" i="1" s="1"/>
  <c r="X175" i="1"/>
  <c r="S175" i="1"/>
  <c r="Q175" i="1"/>
  <c r="X174" i="1"/>
  <c r="S174" i="1"/>
  <c r="Q174" i="1"/>
  <c r="Q173" i="1"/>
  <c r="X172" i="1"/>
  <c r="S172" i="1"/>
  <c r="Q172" i="1"/>
  <c r="Y171" i="1"/>
  <c r="X171" i="1"/>
  <c r="S171" i="1"/>
  <c r="Q171" i="1"/>
  <c r="Y170" i="1"/>
  <c r="X170" i="1"/>
  <c r="S170" i="1"/>
  <c r="Q170" i="1"/>
  <c r="X168" i="1"/>
  <c r="Q168" i="1"/>
  <c r="S168" i="1" s="1"/>
  <c r="X167" i="1"/>
  <c r="Q167" i="1"/>
  <c r="S167" i="1" s="1"/>
  <c r="X166" i="1"/>
  <c r="S166" i="1"/>
  <c r="Q166" i="1"/>
  <c r="AQ164" i="1"/>
  <c r="X164" i="1"/>
  <c r="S164" i="1"/>
  <c r="Q164" i="1"/>
  <c r="AQ163" i="1"/>
  <c r="Y163" i="1"/>
  <c r="X163" i="1"/>
  <c r="Q163" i="1"/>
  <c r="S163" i="1" s="1"/>
  <c r="S162" i="1"/>
  <c r="Q162" i="1"/>
  <c r="AQ161" i="1"/>
  <c r="X161" i="1"/>
  <c r="S161" i="1"/>
  <c r="Q161" i="1"/>
  <c r="AQ160" i="1"/>
  <c r="X160" i="1"/>
  <c r="S160" i="1"/>
  <c r="Q160" i="1"/>
  <c r="X159" i="1"/>
  <c r="Q159" i="1"/>
  <c r="S159" i="1" s="1"/>
  <c r="Y158" i="1"/>
  <c r="X158" i="1"/>
  <c r="R158" i="1"/>
  <c r="S158" i="1" s="1"/>
  <c r="Q158" i="1"/>
  <c r="Y157" i="1"/>
  <c r="X157" i="1"/>
  <c r="S157" i="1"/>
  <c r="Q157" i="1"/>
  <c r="Y156" i="1"/>
  <c r="Q156" i="1"/>
  <c r="S156" i="1" s="1"/>
  <c r="AQ155" i="1"/>
  <c r="Y155" i="1"/>
  <c r="X155" i="1"/>
  <c r="S155" i="1"/>
  <c r="Q155" i="1"/>
  <c r="P155" i="1"/>
  <c r="Y153" i="1"/>
  <c r="X153" i="1"/>
  <c r="S153" i="1"/>
  <c r="Q153" i="1"/>
  <c r="Y151" i="1"/>
  <c r="X151" i="1"/>
  <c r="S151" i="1"/>
  <c r="Q151" i="1"/>
  <c r="Y150" i="1"/>
  <c r="X150" i="1"/>
  <c r="S150" i="1"/>
  <c r="Q150" i="1"/>
  <c r="AQ149" i="1"/>
  <c r="Y149" i="1"/>
  <c r="X149" i="1"/>
  <c r="R149" i="1"/>
  <c r="Q149" i="1"/>
  <c r="S149" i="1" s="1"/>
  <c r="AQ148" i="1"/>
  <c r="Y148" i="1"/>
  <c r="X148" i="1"/>
  <c r="S148" i="1"/>
  <c r="Q148" i="1"/>
  <c r="Y147" i="1"/>
  <c r="X147" i="1"/>
  <c r="S147" i="1"/>
  <c r="Q147" i="1"/>
  <c r="AQ146" i="1"/>
  <c r="Y146" i="1"/>
  <c r="X146" i="1"/>
  <c r="Q146" i="1"/>
  <c r="Y145" i="1"/>
  <c r="X145" i="1"/>
  <c r="S145" i="1"/>
  <c r="Q145" i="1"/>
  <c r="Y144" i="1"/>
  <c r="X144" i="1"/>
  <c r="S144" i="1"/>
  <c r="Q144" i="1"/>
  <c r="Y143" i="1"/>
  <c r="X143" i="1"/>
  <c r="S143" i="1"/>
  <c r="Q143" i="1"/>
  <c r="Y142" i="1"/>
  <c r="X142" i="1"/>
  <c r="S142" i="1"/>
  <c r="Q142" i="1"/>
  <c r="Y141" i="1"/>
  <c r="X141" i="1"/>
  <c r="S141" i="1"/>
  <c r="Q141" i="1"/>
  <c r="AQ140" i="1"/>
  <c r="Y140" i="1"/>
  <c r="X140" i="1"/>
  <c r="S140" i="1"/>
  <c r="Q140" i="1"/>
  <c r="AQ139" i="1"/>
  <c r="Y139" i="1"/>
  <c r="X139" i="1"/>
  <c r="S139" i="1"/>
  <c r="Q139" i="1"/>
  <c r="AQ138" i="1"/>
  <c r="Y138" i="1"/>
  <c r="X138" i="1"/>
  <c r="Q138" i="1"/>
  <c r="S138" i="1" s="1"/>
  <c r="AQ137" i="1"/>
  <c r="Y137" i="1"/>
  <c r="X137" i="1"/>
  <c r="S137" i="1"/>
  <c r="Q137" i="1"/>
  <c r="Q136" i="1"/>
  <c r="S136" i="1" s="1"/>
  <c r="Y135" i="1"/>
  <c r="X135" i="1"/>
  <c r="Q135" i="1"/>
  <c r="S135" i="1" s="1"/>
  <c r="Y134" i="1"/>
  <c r="X134" i="1"/>
  <c r="Q134" i="1"/>
  <c r="S134" i="1" s="1"/>
  <c r="Y133" i="1"/>
  <c r="X133" i="1"/>
  <c r="Q133" i="1"/>
  <c r="S133" i="1" s="1"/>
  <c r="Y132" i="1"/>
  <c r="X132" i="1"/>
  <c r="Q132" i="1"/>
  <c r="S132" i="1" s="1"/>
  <c r="AQ131" i="1"/>
  <c r="Y131" i="1"/>
  <c r="X131" i="1"/>
  <c r="Q131" i="1"/>
  <c r="S131" i="1" s="1"/>
  <c r="AQ130" i="1"/>
  <c r="Y130" i="1"/>
  <c r="X130" i="1"/>
  <c r="S130" i="1"/>
  <c r="Q130" i="1"/>
  <c r="AQ129" i="1"/>
  <c r="Y129" i="1"/>
  <c r="X129" i="1"/>
  <c r="S129" i="1"/>
  <c r="Q129" i="1"/>
  <c r="AQ128" i="1"/>
  <c r="Y128" i="1"/>
  <c r="X128" i="1"/>
  <c r="Q128" i="1"/>
  <c r="S128" i="1" s="1"/>
  <c r="AQ127" i="1"/>
  <c r="Y127" i="1"/>
  <c r="X127" i="1"/>
  <c r="Q127" i="1"/>
  <c r="S127" i="1" s="1"/>
  <c r="AQ126" i="1"/>
  <c r="Y126" i="1"/>
  <c r="X126" i="1"/>
  <c r="S126" i="1"/>
  <c r="Q126" i="1"/>
  <c r="AQ125" i="1"/>
  <c r="Y125" i="1"/>
  <c r="X125" i="1"/>
  <c r="S125" i="1"/>
  <c r="Q125" i="1"/>
  <c r="AQ124" i="1"/>
  <c r="Y124" i="1"/>
  <c r="X124" i="1"/>
  <c r="Q124" i="1"/>
  <c r="R124" i="1" s="1"/>
  <c r="AQ123" i="1"/>
  <c r="Y123" i="1"/>
  <c r="X123" i="1"/>
  <c r="Q123" i="1"/>
  <c r="S123" i="1" s="1"/>
  <c r="Y122" i="1"/>
  <c r="X122" i="1"/>
  <c r="Q122" i="1"/>
  <c r="S122" i="1" s="1"/>
  <c r="Y121" i="1"/>
  <c r="X121" i="1"/>
  <c r="Q121" i="1"/>
  <c r="S121" i="1" s="1"/>
  <c r="AQ120" i="1"/>
  <c r="Y120" i="1"/>
  <c r="X120" i="1"/>
  <c r="S120" i="1"/>
  <c r="Q120" i="1"/>
  <c r="AQ119" i="1"/>
  <c r="Y119" i="1"/>
  <c r="X119" i="1"/>
  <c r="R119" i="1"/>
  <c r="Q119" i="1"/>
  <c r="S119" i="1" s="1"/>
  <c r="AQ118" i="1"/>
  <c r="Y118" i="1"/>
  <c r="X118" i="1"/>
  <c r="Q118" i="1"/>
  <c r="S118" i="1" s="1"/>
  <c r="AQ117" i="1"/>
  <c r="Y117" i="1"/>
  <c r="X117" i="1"/>
  <c r="S117" i="1"/>
  <c r="Q117" i="1"/>
  <c r="AQ116" i="1"/>
  <c r="Y116" i="1"/>
  <c r="X116" i="1"/>
  <c r="S116" i="1"/>
  <c r="Q116" i="1"/>
  <c r="AQ115" i="1"/>
  <c r="Y115" i="1"/>
  <c r="X115" i="1"/>
  <c r="Q115" i="1"/>
  <c r="S115" i="1" s="1"/>
  <c r="AQ114" i="1"/>
  <c r="Y114" i="1"/>
  <c r="X114" i="1"/>
  <c r="Q114" i="1"/>
  <c r="S114" i="1" s="1"/>
  <c r="AQ113" i="1"/>
  <c r="Y113" i="1"/>
  <c r="X113" i="1"/>
  <c r="S113" i="1"/>
  <c r="Q113" i="1"/>
  <c r="AQ112" i="1"/>
  <c r="Y112" i="1"/>
  <c r="X112" i="1"/>
  <c r="S112" i="1"/>
  <c r="Q112" i="1"/>
  <c r="Y111" i="1"/>
  <c r="X111" i="1"/>
  <c r="S111" i="1"/>
  <c r="Q111" i="1"/>
  <c r="AQ110" i="1"/>
  <c r="Y110" i="1"/>
  <c r="X110" i="1"/>
  <c r="Q110" i="1"/>
  <c r="R110" i="1" s="1"/>
  <c r="Y109" i="1"/>
  <c r="X109" i="1"/>
  <c r="Q109" i="1"/>
  <c r="S109" i="1" s="1"/>
  <c r="Y108" i="1"/>
  <c r="X108" i="1"/>
  <c r="Q108" i="1"/>
  <c r="S108" i="1" s="1"/>
  <c r="AQ107" i="1"/>
  <c r="Y107" i="1"/>
  <c r="X107" i="1"/>
  <c r="Q107" i="1"/>
  <c r="S107" i="1" s="1"/>
  <c r="Y106" i="1"/>
  <c r="X106" i="1"/>
  <c r="Q106" i="1"/>
  <c r="S106" i="1" s="1"/>
  <c r="Y105" i="1"/>
  <c r="X105" i="1"/>
  <c r="Q105" i="1"/>
  <c r="S105" i="1" s="1"/>
  <c r="AQ104" i="1"/>
  <c r="Y104" i="1"/>
  <c r="X104" i="1"/>
  <c r="S104" i="1"/>
  <c r="Q104" i="1"/>
  <c r="Q103" i="1"/>
  <c r="S103" i="1" s="1"/>
  <c r="S102" i="1"/>
  <c r="Q102" i="1"/>
  <c r="Q101" i="1"/>
  <c r="S101" i="1" s="1"/>
  <c r="AQ100" i="1"/>
  <c r="S100" i="1"/>
  <c r="AQ99" i="1"/>
  <c r="Y99" i="1"/>
  <c r="S99" i="1"/>
  <c r="Q99" i="1"/>
  <c r="S98" i="1"/>
  <c r="Q97" i="1"/>
  <c r="S97" i="1" s="1"/>
  <c r="S96" i="1"/>
  <c r="Q96" i="1"/>
  <c r="AQ95" i="1"/>
  <c r="S95" i="1"/>
  <c r="Q95" i="1"/>
  <c r="AQ94" i="1"/>
  <c r="Q94" i="1"/>
  <c r="S94" i="1" s="1"/>
  <c r="AQ92" i="1"/>
  <c r="Q92" i="1"/>
  <c r="S92" i="1" s="1"/>
  <c r="AQ91" i="1"/>
  <c r="R91" i="1"/>
  <c r="Q91" i="1"/>
  <c r="S91" i="1" s="1"/>
  <c r="AQ90" i="1"/>
  <c r="S90" i="1"/>
  <c r="Q90" i="1"/>
  <c r="AQ89" i="1"/>
  <c r="S89" i="1"/>
  <c r="Q89" i="1"/>
  <c r="Y88" i="1"/>
  <c r="Q88" i="1"/>
  <c r="S88" i="1" s="1"/>
  <c r="S87" i="1"/>
  <c r="Q87" i="1"/>
  <c r="AQ86" i="1"/>
  <c r="S86" i="1"/>
  <c r="Q86" i="1"/>
  <c r="S85" i="1"/>
  <c r="Y84" i="1"/>
  <c r="S84" i="1"/>
  <c r="Q84" i="1"/>
  <c r="Q83" i="1"/>
  <c r="S83" i="1" s="1"/>
  <c r="S82" i="1"/>
  <c r="Q82" i="1"/>
  <c r="Q81" i="1"/>
  <c r="S81" i="1" s="1"/>
  <c r="AQ80" i="1"/>
  <c r="S80" i="1"/>
  <c r="Q80" i="1"/>
  <c r="AQ79" i="1"/>
  <c r="S79" i="1"/>
  <c r="Q79" i="1"/>
  <c r="Q78" i="1"/>
  <c r="S78" i="1" s="1"/>
  <c r="AQ77" i="1"/>
  <c r="S77" i="1"/>
  <c r="Q77" i="1"/>
  <c r="AQ76" i="1"/>
  <c r="S76" i="1"/>
  <c r="Q76" i="1"/>
  <c r="AQ75" i="1"/>
  <c r="Y75" i="1"/>
  <c r="S75" i="1"/>
  <c r="Q75" i="1"/>
  <c r="AQ74" i="1"/>
  <c r="Y74" i="1"/>
  <c r="S74" i="1"/>
  <c r="Q74" i="1"/>
  <c r="Y73" i="1"/>
  <c r="Q73" i="1"/>
  <c r="S73" i="1" s="1"/>
  <c r="T72" i="1"/>
  <c r="S72" i="1"/>
  <c r="AQ71" i="1"/>
  <c r="S71" i="1"/>
  <c r="Q71" i="1"/>
  <c r="AQ70" i="1"/>
  <c r="Y70" i="1"/>
  <c r="S70" i="1"/>
  <c r="Q70" i="1"/>
  <c r="Y68" i="1"/>
  <c r="Q68" i="1"/>
  <c r="S68" i="1" s="1"/>
  <c r="AQ67" i="1"/>
  <c r="P67" i="1"/>
  <c r="Q67" i="1" s="1"/>
  <c r="S67" i="1" s="1"/>
  <c r="AQ62" i="1"/>
  <c r="Y62" i="1"/>
  <c r="S62" i="1"/>
  <c r="AQ61" i="1"/>
  <c r="Y61" i="1"/>
  <c r="Q61" i="1"/>
  <c r="S61" i="1" s="1"/>
  <c r="S60" i="1"/>
  <c r="Q60" i="1"/>
  <c r="AQ59" i="1"/>
  <c r="R59" i="1"/>
  <c r="S59" i="1" s="1"/>
  <c r="Q59" i="1"/>
  <c r="P59" i="1"/>
  <c r="P199" i="1" s="1"/>
  <c r="AQ58" i="1"/>
  <c r="S58" i="1"/>
  <c r="R58" i="1"/>
  <c r="Q58" i="1"/>
  <c r="AQ57" i="1"/>
  <c r="S57" i="1"/>
  <c r="Q57" i="1"/>
  <c r="AQ56" i="1"/>
  <c r="Q56" i="1"/>
  <c r="S56" i="1" s="1"/>
  <c r="R55" i="1"/>
  <c r="Q55" i="1"/>
  <c r="S55" i="1" s="1"/>
  <c r="S54" i="1"/>
  <c r="R54" i="1"/>
  <c r="Q54" i="1"/>
  <c r="AQ53" i="1"/>
  <c r="Y53" i="1"/>
  <c r="S53" i="1"/>
  <c r="Q53" i="1"/>
  <c r="Y52" i="1"/>
  <c r="Y51" i="1"/>
  <c r="Y50" i="1"/>
  <c r="Q50" i="1"/>
  <c r="R50" i="1" s="1"/>
  <c r="Y49" i="1"/>
  <c r="S49" i="1"/>
  <c r="Q49" i="1"/>
  <c r="AQ48" i="1"/>
  <c r="S48" i="1"/>
  <c r="Q48" i="1"/>
  <c r="Q47" i="1"/>
  <c r="S47" i="1" s="1"/>
  <c r="S46" i="1"/>
  <c r="Q46" i="1"/>
  <c r="Q45" i="1"/>
  <c r="S45" i="1" s="1"/>
  <c r="AQ44" i="1"/>
  <c r="S44" i="1"/>
  <c r="Q44" i="1"/>
  <c r="Q43" i="1"/>
  <c r="S43" i="1" s="1"/>
  <c r="AQ42" i="1"/>
  <c r="Y42" i="1"/>
  <c r="R42" i="1"/>
  <c r="Q42" i="1"/>
  <c r="S42" i="1" s="1"/>
  <c r="Y41" i="1"/>
  <c r="Q41" i="1"/>
  <c r="S41" i="1" s="1"/>
  <c r="Y40" i="1"/>
  <c r="Y39" i="1"/>
  <c r="Q39" i="1"/>
  <c r="S39" i="1" s="1"/>
  <c r="S38" i="1"/>
  <c r="Q38" i="1"/>
  <c r="Q37" i="1"/>
  <c r="S37" i="1" s="1"/>
  <c r="S36" i="1"/>
  <c r="Q35" i="1"/>
  <c r="S35" i="1" s="1"/>
  <c r="Y34" i="1"/>
  <c r="T34" i="1"/>
  <c r="S34" i="1"/>
  <c r="Y33" i="1"/>
  <c r="S33" i="1"/>
  <c r="Y32" i="1"/>
  <c r="Q32" i="1"/>
  <c r="S32" i="1" s="1"/>
  <c r="Y31" i="1"/>
  <c r="S31" i="1"/>
  <c r="Q31" i="1"/>
  <c r="Y30" i="1"/>
  <c r="S30" i="1"/>
  <c r="Q30" i="1"/>
  <c r="Y29" i="1"/>
  <c r="Q29" i="1"/>
  <c r="S29" i="1" s="1"/>
  <c r="Y28" i="1"/>
  <c r="Q28" i="1"/>
  <c r="S28" i="1" s="1"/>
  <c r="S27" i="1"/>
  <c r="Q27" i="1"/>
  <c r="Y26" i="1"/>
  <c r="Q26" i="1"/>
  <c r="S26" i="1" s="1"/>
  <c r="S25" i="1"/>
  <c r="Q25" i="1"/>
  <c r="Q24" i="1"/>
  <c r="S24" i="1" s="1"/>
  <c r="S23" i="1"/>
  <c r="Q23" i="1"/>
  <c r="Q22" i="1"/>
  <c r="S22" i="1" s="1"/>
  <c r="S21" i="1"/>
  <c r="Q21" i="1"/>
  <c r="Q20" i="1"/>
  <c r="S20" i="1" s="1"/>
  <c r="S19" i="1"/>
  <c r="Q19" i="1"/>
  <c r="Q18" i="1"/>
  <c r="S18" i="1" s="1"/>
  <c r="R17" i="1"/>
  <c r="Q17" i="1"/>
  <c r="Q16" i="1"/>
  <c r="S16" i="1" s="1"/>
  <c r="Y15" i="1"/>
  <c r="Q15" i="1"/>
  <c r="S15" i="1" s="1"/>
  <c r="S14" i="1"/>
  <c r="Q14" i="1"/>
  <c r="Q13" i="1"/>
  <c r="S13" i="1" s="1"/>
  <c r="S12" i="1"/>
  <c r="Q12" i="1"/>
  <c r="Q11" i="1"/>
  <c r="S11" i="1" s="1"/>
  <c r="S10" i="1"/>
  <c r="Q10" i="1"/>
  <c r="Q9" i="1"/>
  <c r="S9" i="1" s="1"/>
  <c r="S8" i="1"/>
  <c r="Q8" i="1"/>
  <c r="Q7" i="1"/>
  <c r="S7" i="1" s="1"/>
  <c r="S6" i="1"/>
  <c r="Q6" i="1"/>
  <c r="Q5" i="1"/>
  <c r="S5" i="1" s="1"/>
  <c r="S4" i="1"/>
  <c r="Q4" i="1"/>
  <c r="Q3" i="1"/>
  <c r="S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Nataly Villamil Rodriguez</author>
  </authors>
  <commentList>
    <comment ref="G2" authorId="0" shapeId="0" xr:uid="{B14D5A8E-DF04-41EE-89B8-255F3B8CE612}">
      <text>
        <r>
          <rPr>
            <b/>
            <sz val="9"/>
            <color indexed="81"/>
            <rFont val="Tahoma"/>
            <family val="2"/>
          </rPr>
          <t>Ruth Nataly Villamil Rodriguez:</t>
        </r>
        <r>
          <rPr>
            <sz val="9"/>
            <color indexed="81"/>
            <rFont val="Tahoma"/>
            <family val="2"/>
          </rPr>
          <t xml:space="preserve">
</t>
        </r>
        <r>
          <rPr>
            <b/>
            <sz val="9"/>
            <color indexed="81"/>
            <rFont val="Tahoma"/>
            <family val="2"/>
          </rPr>
          <t>ESCRIBA EL NIT SIN PUNTOS. EN FORMATO NUMÉRICO</t>
        </r>
      </text>
    </comment>
  </commentList>
</comments>
</file>

<file path=xl/sharedStrings.xml><?xml version="1.0" encoding="utf-8"?>
<sst xmlns="http://schemas.openxmlformats.org/spreadsheetml/2006/main" count="3521" uniqueCount="1446">
  <si>
    <t>No. CONTRATO</t>
  </si>
  <si>
    <t>MODALIDAD DE SELECCIÓN</t>
  </si>
  <si>
    <t>No. proceso</t>
  </si>
  <si>
    <t>CLASE DE CTO</t>
  </si>
  <si>
    <t>RESPONSABLE</t>
  </si>
  <si>
    <t>CONTRATISTA</t>
  </si>
  <si>
    <t>IDENTIFICACION
NIT/ CEDULA</t>
  </si>
  <si>
    <t>COD. VERIFICACION NIT</t>
  </si>
  <si>
    <t>OBJETO</t>
  </si>
  <si>
    <t xml:space="preserve">No. CTO INTER                                                                                                            </t>
  </si>
  <si>
    <t xml:space="preserve">FUERZA </t>
  </si>
  <si>
    <t>VENCIMIENTO INTER</t>
  </si>
  <si>
    <t>VALOR INICIAL CONTRATO</t>
  </si>
  <si>
    <t>RP</t>
  </si>
  <si>
    <t xml:space="preserve"> ADICIONES
FECHA</t>
  </si>
  <si>
    <t>VALOR DE LA ADICION</t>
  </si>
  <si>
    <t>TOTAL</t>
  </si>
  <si>
    <t xml:space="preserve">VALOR PAGADO </t>
  </si>
  <si>
    <t>SALDO</t>
  </si>
  <si>
    <t>REINTEGROS</t>
  </si>
  <si>
    <t>FECHA SUSCRIPCION CONTRATO</t>
  </si>
  <si>
    <t>FECHA DE INICIO CONTRATO O AUTO APROBACION POLIZAS</t>
  </si>
  <si>
    <t>FECHA TERMINACION CONTRATO</t>
  </si>
  <si>
    <t>TIEMPO EN DIAS</t>
  </si>
  <si>
    <t>FECHA PREVISTA DE LIQUIDACION</t>
  </si>
  <si>
    <t>PRORROGAS</t>
  </si>
  <si>
    <t>ESTADO DEL CONTRATO</t>
  </si>
  <si>
    <t>FECHA DE LIQUIDACION</t>
  </si>
  <si>
    <t>LIQUIDACIÓN PUBLICADA EN SECOP</t>
  </si>
  <si>
    <t>ENTREGADO AL ARCHIVO DE GESTION</t>
  </si>
  <si>
    <t>OBSERVACIONES</t>
  </si>
  <si>
    <t>ORDENAD. DEL GASTO</t>
  </si>
  <si>
    <t>NOMBRE SUPERVISOR/ INTERVENTOR</t>
  </si>
  <si>
    <t>FECHA NOTIFICACION</t>
  </si>
  <si>
    <t>IDENTIFICACION</t>
  </si>
  <si>
    <t>GARANTÍAS / TIPO DE GARANTÍA</t>
  </si>
  <si>
    <t>FECHA EXPEDICIÓN GARANTIAS</t>
  </si>
  <si>
    <t>GARANTÍAS / ENTIDAD ASEGURADORA</t>
  </si>
  <si>
    <t>GARANTÍAS / NÚMERO DE LA GARANTÍA</t>
  </si>
  <si>
    <t>GARANTÍAS / RIESGOS ASEGURADOS</t>
  </si>
  <si>
    <t>GARANTÍAS / PORCENTAJE ( % ) ASEGURADO</t>
  </si>
  <si>
    <t>GARANTÍAS / VALOR ASEGURADO</t>
  </si>
  <si>
    <t>CODIGO SAP</t>
  </si>
  <si>
    <t>ORFEO</t>
  </si>
  <si>
    <t>001-001-18</t>
  </si>
  <si>
    <t>CONTRATACIÓN DIRECTA</t>
  </si>
  <si>
    <t>C.D. No. 002-003-2018</t>
  </si>
  <si>
    <t>PRESTACIÓN DE SERVICIOS PROFESIONALES Y DE APOYO A LA GESTIÓN</t>
  </si>
  <si>
    <t>LUZ PATRICIA</t>
  </si>
  <si>
    <t>MAGDA IDALID ROMERO PAMPLONA</t>
  </si>
  <si>
    <t>CONTRATAR UN PROFESIONAL ESPECIALIZADO EN DERECHO PROCESAL PARA ASESORAR A LA ALFM EN EL DESARROLLO DE LAS INVESTIGACIONES ADMINISTRATIVAS Y DISCIPLINARIAS DESDE QUE SE RECIBE LA QUEJA Y/O INFORME, HASTA PROYECTAR FALLO DE PRIMERA INSTANCIA, DANDO APLICACIÓN A LA LEY 1476 DE 2011, LEY 734 DE 2002, ASÍ COMO LA ASESORÍA DE LOS PROCESOS DISCIPLINARIOS DE LA LEY 1862 DE 2017</t>
  </si>
  <si>
    <t>LIQUIDADO</t>
  </si>
  <si>
    <t>X</t>
  </si>
  <si>
    <t>ENTREGADO AL ARCHIVO</t>
  </si>
  <si>
    <t>SUBDIRECTORA DE CONTRATACIÓN</t>
  </si>
  <si>
    <t>FANNY GONZALEZ</t>
  </si>
  <si>
    <t>4300001007</t>
  </si>
  <si>
    <t>20186010020500026E</t>
  </si>
  <si>
    <t>ADICION 001-001-18</t>
  </si>
  <si>
    <t>001-002-18</t>
  </si>
  <si>
    <t>C.D. No. 002-004-2018</t>
  </si>
  <si>
    <t>FILADELFO ROBAYO</t>
  </si>
  <si>
    <t>PRESTAR POR SUS PROPIOS MEDIOS, CON PLENA AUTONOMÍA TÉCNICA Y ADMINISTRATIVA, SERVICIOS DE ASESORÍA A LA DIRECCIÓN GENERAL DE LA AGENCIA LOGÍSTICA DE LAS FUERZAS MILITARES EN LO CONCERNIENTE A LA ASESORÍA JURÍDICA EN DESARROLLO DE LOS PROCESOS DISCIPLINARIOS DE LA ENTIDAD</t>
  </si>
  <si>
    <t>4300001008</t>
  </si>
  <si>
    <t>001-003-18</t>
  </si>
  <si>
    <t>C.D. No. 002-010-2018</t>
  </si>
  <si>
    <t>SULMA</t>
  </si>
  <si>
    <t>JOSÉ JOAQUÍN SANABRIA FONSECA</t>
  </si>
  <si>
    <t>PRESTAR CON PLENA AUTONOMÍA TÉCNICA Y ADMINISTRATIVA, SERVICIOS DE ASESORÍA A LA DIRECCIÓN DE LA AGENCIA LOGÍSTICA DE LAS FUERZAS MILITARES EN LO CONCERNIENTE A LA IMPLEMENTACIÓN DEL NUEVO MODELO DE OPERACIÓN, ARTICULACIÓN DE LA CADENA DE VALOR, PROCESOS DE INNOVACIÓN Y FORMULACIÓN DEL PLAN ESTRATÉGICO 2019- 2022</t>
  </si>
  <si>
    <t>4300001009</t>
  </si>
  <si>
    <t>001-004-18</t>
  </si>
  <si>
    <t>NUBIA GONZÁLEZ CERÓN</t>
  </si>
  <si>
    <t>CONTRATAR UN PROFESIONAL ESPECIALIZADO EN DERECHO LABORAL Y DERECHO PÚBLICO, PARA QUE DESARROLLE LA ASESORÍA JURÍDICA EN LOS TEMAS DE FUNCIÓN PÚBLICA EN LA AGENCIA LOGÍSTICA DE LAS FUERZAS MILITARES</t>
  </si>
  <si>
    <t>4300001010</t>
  </si>
  <si>
    <t>20186010020500027E</t>
  </si>
  <si>
    <t>001-005-18</t>
  </si>
  <si>
    <t>C.D. No. 002-007-2018</t>
  </si>
  <si>
    <t>CESAR CLAVIJO MUNEVAR</t>
  </si>
  <si>
    <t>CONTRATAR LOS SERVICIOS PROFESIONALES DE UN ABOGADO PARA REPRESENTAR LA AGENCIA LOGÍSTICA DE LAS FUERZAS MILITARES EN PROCESOS PENALES</t>
  </si>
  <si>
    <t xml:space="preserve">ENTREGADO AL ARCHIVO </t>
  </si>
  <si>
    <t>4300001011</t>
  </si>
  <si>
    <t>ADICION 001-005-2018</t>
  </si>
  <si>
    <t>C.D. No. 002-005-2018</t>
  </si>
  <si>
    <t>001-006-18</t>
  </si>
  <si>
    <t>C.D. No. 002-006-2018</t>
  </si>
  <si>
    <t>ROSA MARIA</t>
  </si>
  <si>
    <t>JORGE GUILLERMO MONROY GUERRA</t>
  </si>
  <si>
    <t>PRESTAR LOS SERVICIOS PROFESIONALES DE APOYO AL SUPERVISOR DE INTERVENTORIA PARA LA TERMINACIÓN DE OBRAS DE LAS NUEVAS INSTALACIONES, CONSTRUCCIÓN DEL MUELLE Y PROTECCIÓN DE LA RIBERA SOBRE LA MARGEN DERECHA DEL RIO MAGDALENA EN EL PUESTO FLUVIAL AVANZADO DE INFANTERÍA DE MARINA No. 31 DE LA ARMADA NACIONAL CON SEDE EN BARRANCABERMEJA, DEPARTAMENTO DE SANTANDER</t>
  </si>
  <si>
    <t xml:space="preserve"> No  </t>
  </si>
  <si>
    <t xml:space="preserve">No han solicitado prorrorga </t>
  </si>
  <si>
    <t>LIQUIDACION UNILATERAL</t>
  </si>
  <si>
    <t>ING. EDWIN GALLEGO
ARQ. NESTOR CASTELLANOS
ING. CAROLINA ARENAS</t>
  </si>
  <si>
    <t>19-enero-18
1-marzo-18
3-abril-18</t>
  </si>
  <si>
    <t>1.019.037.215
11.388.383
1.032.407.879</t>
  </si>
  <si>
    <t xml:space="preserve">CUMPLIMIENTO </t>
  </si>
  <si>
    <t>SEGUROS DEL ESTADO S.A.</t>
  </si>
  <si>
    <t>11-44-101116748</t>
  </si>
  <si>
    <t xml:space="preserve"> CUMPLIMIENTO  </t>
  </si>
  <si>
    <t>4300001013</t>
  </si>
  <si>
    <t xml:space="preserve"> 20186010020500079E </t>
  </si>
  <si>
    <t>001-007-18</t>
  </si>
  <si>
    <t>C.M. No. 002-008-2018</t>
  </si>
  <si>
    <t>PRESTACIÓN DE SERVICIOS</t>
  </si>
  <si>
    <t>CERTICAMARA S.A.</t>
  </si>
  <si>
    <t>ADQUISICIÓN DE TOKEN PARA LA ALFM</t>
  </si>
  <si>
    <t>4200002413  4200002414 4200002415 4200002416 4200002418 4200002419 4200002420 4200002421 4200002422 4200002423 4200002424 4200002427</t>
  </si>
  <si>
    <t>20186010020500029E</t>
  </si>
  <si>
    <t>001-008-18</t>
  </si>
  <si>
    <t>BOLSA MERCANTIL</t>
  </si>
  <si>
    <t>JORGE</t>
  </si>
  <si>
    <t>BURSAGAN S.A.</t>
  </si>
  <si>
    <t>COMISIONISTA DE BOLDA</t>
  </si>
  <si>
    <t>5000000073</t>
  </si>
  <si>
    <t>001-009-18</t>
  </si>
  <si>
    <t>GABRIEL MORENO</t>
  </si>
  <si>
    <t xml:space="preserve">CORAGRO </t>
  </si>
  <si>
    <t>COMISIONISTA DE BOLSA</t>
  </si>
  <si>
    <t>5000000074</t>
  </si>
  <si>
    <t>001-010-18</t>
  </si>
  <si>
    <t>002-018-18</t>
  </si>
  <si>
    <t>CAROLD. GRUPO 1</t>
  </si>
  <si>
    <t>MARIA BRICEIDA SEPULVEDA C.</t>
  </si>
  <si>
    <t>CONTRATAR LOS SERVICIOS PROFESIONALES DE UN INGENIERO EN TRANSPORTE Y VÍAS  PARA DESEMPEÑAR LAS FUNCIONES DE RESIDENTE DE OBRA EN LA CONSTRUCCIÓN DE LA CARRETERA DE ACCESO PARA LA CONEXIÓN DE LA UNIDAD MILITAR (BFIM24 ISLA NAVAL) CON LA VÍA PRINCIPAL (AGUADULCE-CABAL POMBO) EN BUENAVENTURA VALLE DEL CAUCA</t>
  </si>
  <si>
    <t>001-079/17-CENAC</t>
  </si>
  <si>
    <t>EJERCITO NACIONAL</t>
  </si>
  <si>
    <t>SAMUEL CASQUETE</t>
  </si>
  <si>
    <t>PÓLIZA</t>
  </si>
  <si>
    <t>SEGUROS DEL ESTADO</t>
  </si>
  <si>
    <t>45-46-101001869</t>
  </si>
  <si>
    <t>CUMPLIMIENTO</t>
  </si>
  <si>
    <t>4400000331</t>
  </si>
  <si>
    <t>GRUPO LIQUIDACIONES</t>
  </si>
  <si>
    <t>20186030020500006E</t>
  </si>
  <si>
    <t>001-011-18</t>
  </si>
  <si>
    <t>C.D. No. 002-016-18</t>
  </si>
  <si>
    <t>SOCIEDAD HOTELERA TEQUENDAMA</t>
  </si>
  <si>
    <t>CONTRATAR LA PRESTACIÓN DE SERVICIOS DE ALQUILER DE SALONES, ALIMENTACIÓN Y BEBIDAS, ACTIVIDADES DE TRANSPORTE Y ALOJAMIENTO QUE SE REQUIERAN PARA EL DESARROLLO DE LAS DIFERENTES ACTIVIDADES DE BIENESTAR SOCIAL Y DESARROLLO INSTITUCIONAL, PROGRAMADAS POR LA AGENCIA LOGÍSTICA DE LAS FUERZAS MILITARES</t>
  </si>
  <si>
    <t>SECRETARIO GENERAL</t>
  </si>
  <si>
    <t>4300001012</t>
  </si>
  <si>
    <t>001-012-18</t>
  </si>
  <si>
    <t>C.D. No. 002-019-18</t>
  </si>
  <si>
    <t>CARLOS ALBERTO GRANDA</t>
  </si>
  <si>
    <t>CONTRATAR LOS SERVICIOS DE UN MECÁNICO PARA DESEMPEÑAR LAS FUNCIONES DE MANTENIMIENTO Y REPARACIÓN MAQUINARIA PESADA EN LA CONSTRUCCIÓN DE LA CARRETERA DE ACCESO PARA LA CONEXIÓN DE LA UNIDAD MILITAR (BFIM 24 ISLA NAVAL) CON LA VÍA PRINCIPAL (AGUADULCE-CABAL POMBO) EN BUENAVENTURA VALLE DEL CAUCA</t>
  </si>
  <si>
    <t>4400000333</t>
  </si>
  <si>
    <t>001-013-18</t>
  </si>
  <si>
    <t>002-020-18</t>
  </si>
  <si>
    <t>JOSE ANTONIO JOJOA PEREZ</t>
  </si>
  <si>
    <t>CONTRATAR LOS SERVICIOS DE UN MAESTRO DE OBRA EN LA CONSTRUCCIÓN DE LA CARRETERA DE ACCESO PARA LA CONEXIÓN DE LA UNIDAD MILITAR (BFIM24 ISLA NAVAL) CON LA VÍA PRINCIPAL (AGUADULCE - CABAL POMBO) EN BUENAVENTURA VALLE DEL CAUCA</t>
  </si>
  <si>
    <t xml:space="preserve">11-46-101005415 </t>
  </si>
  <si>
    <t>4400000332</t>
  </si>
  <si>
    <t>20186030020500007E</t>
  </si>
  <si>
    <t>001-014-18</t>
  </si>
  <si>
    <t>C.D. PROVEEDOR EXCLUSIVO No. 002-017-2018</t>
  </si>
  <si>
    <t>ANA PINTO</t>
  </si>
  <si>
    <t>PENSEMOS S.A.</t>
  </si>
  <si>
    <t>RENOVACIÓN, LICENCIAMIENTO, SERVICIO DE ACTUALIZACIÓN, MANTENIMIENTO Y SOPORTE EN SITIO DE LA SUITE VISION EMPRESARIAL PARA LA ALFM</t>
  </si>
  <si>
    <t>DIRECTOR GENERAL</t>
  </si>
  <si>
    <t>4300001016</t>
  </si>
  <si>
    <t>20182140020600001E</t>
  </si>
  <si>
    <t>001-015-18</t>
  </si>
  <si>
    <t>INTERADMINISTRATIVO</t>
  </si>
  <si>
    <t>MARTHA SIERRA</t>
  </si>
  <si>
    <t>CASINO CENTRAL DE OFICIALES FUERZA AEREA</t>
  </si>
  <si>
    <t>SERVICIOS LOGÍSTICOS PARA EL DESARROLLO DE LOS ACTOS OFICIALES INSTITUCIONALES Y SOLEMNES DEL COMANDO DE LA FAC</t>
  </si>
  <si>
    <t>x</t>
  </si>
  <si>
    <t>4400000334</t>
  </si>
  <si>
    <t>ADICION 001-015-18</t>
  </si>
  <si>
    <t>001-016-18</t>
  </si>
  <si>
    <t>CASINO CENTRAL DE SUBOFICIALES DE LA FUERZA AEREA COLOMBIANA</t>
  </si>
  <si>
    <t>4400000335</t>
  </si>
  <si>
    <t>001-017-18</t>
  </si>
  <si>
    <t>C.D. No. 002-025-18</t>
  </si>
  <si>
    <t>JOSÉ ANDRÉS O´MEARA RIVEIRA</t>
  </si>
  <si>
    <t>CONTRATAR UN PROFESIONAL ESPECIALIZADO EN DERECHO PÚBLICO PARA QUE DESARROLLE LA ASESORIA JURÍDICA A LA AGENCIA LOGÍSTICA DE LAS FUERZAS MILITARES EN MATERIA DE DERECHO PÚBLICO Y NUEVO MODELO METODOLÓGICO DE CONTROL FISCAL DE LA CONTRALORÍA GENERAL DE LA REPÚBLICA</t>
  </si>
  <si>
    <t>4300001014</t>
  </si>
  <si>
    <t>001-018-18</t>
  </si>
  <si>
    <t>MINÍMA CUANTÍA</t>
  </si>
  <si>
    <t>C.M. No. 002-013-2018</t>
  </si>
  <si>
    <t xml:space="preserve">PRESTACIÓN DE SERVICIOS   </t>
  </si>
  <si>
    <t>ICONTEC</t>
  </si>
  <si>
    <t>CONTRATAR LOS SERVICIOS DE PRE-AUDITORIA Y AUDITORÍA DE RENOVACIÓN A LOS CERTIFICADOS DE GESTIÓN DE CALIDAD DEL SIG DE LA AGENCIA LOGÍSTICA BAJO EL ALCANCE: “PRESTACIÓN DE LOS SERVICIOS DE APOYO LOGÍSTICO A LAS FUERZAS MILITARES Y SECTOR DEFENSA, MEDIANTE LA GESTIÓN DE ABASTECIMIENTOS DE BIENES Y SERVICIOS, COMO: ALMACENAMIENTO Y DISTRIBUCIÓN, ADMINISTRACIÓN DE COMEDORES DE TROPA, ABASTECIMIENTO DE COMBUSTIBLES GRASAS Y LUBRICANTES, ENSAMBLE DE RACIONES DE CAMPAÑA, PROCESADORA DE CAFÉ, PANADERÍA, COMERCIALIZACIÓN DE SERVICIO DE BUCEO Y SALVAMENTO, CRÉDITOS Y GESTIÓN DE OBRAS CIVILES.</t>
  </si>
  <si>
    <t>SE HACE DEVOLUCIÓN DEL EXPEDIENTE A MARTHA SIERRA PARA ORGANIZAR Y ENTREGAR AL ARCHIVO NO SE ENCUENTRA FOLIADO</t>
  </si>
  <si>
    <t>4300001018</t>
  </si>
  <si>
    <t>001-019-18</t>
  </si>
  <si>
    <t>ABASTECIMIENTOS</t>
  </si>
  <si>
    <t>CORRECOL</t>
  </si>
  <si>
    <t>BOLSA</t>
  </si>
  <si>
    <t>5000000090</t>
  </si>
  <si>
    <t>20182210020500001E</t>
  </si>
  <si>
    <t>001-020-18</t>
  </si>
  <si>
    <t>ANDREY</t>
  </si>
  <si>
    <t>MERCADO Y BOLSA SA</t>
  </si>
  <si>
    <t>5000000088</t>
  </si>
  <si>
    <t>20182210020500002E</t>
  </si>
  <si>
    <t>001-021-18</t>
  </si>
  <si>
    <t>C.M. No. 002-029-2018</t>
  </si>
  <si>
    <t>PRESTACIÓN DE SERVCIOS</t>
  </si>
  <si>
    <t>FUMIGACIONES 24 HORAS LTDA</t>
  </si>
  <si>
    <t>CONTRATAR LOS SERVICIOS PARA EL MANEJO INTEGRADO DE PLAGAS Y  LIMPIEZA Y DESINFECCIÓN DE TANQUES DE ALMACENAMIENTO DE AGUA POTABLE EN LA ALFM</t>
  </si>
  <si>
    <t>FALTA ENCUESTA AL PROVEDOR</t>
  </si>
  <si>
    <t>TASD DIANA FERNANDA CORREAL FRANCO</t>
  </si>
  <si>
    <t xml:space="preserve">
8-marzo-18
</t>
  </si>
  <si>
    <t xml:space="preserve">SEGUROS DEL ESTADO S.A. </t>
  </si>
  <si>
    <t>37-44-101029210</t>
  </si>
  <si>
    <t>CUMPLIMIENTO
CALIDAD DEL SERVICIO
PAGO DE SALARIOS Y PRESTACIONES SOCIALES LEGALES E INDEMNIZACIONES LABORALES</t>
  </si>
  <si>
    <t>4300001048</t>
  </si>
  <si>
    <t>Cumplido en proceso de liquidacion</t>
  </si>
  <si>
    <t>20186010020500002E</t>
  </si>
  <si>
    <t>001-022-18</t>
  </si>
  <si>
    <t>CONFINAGRO</t>
  </si>
  <si>
    <t>5000000089</t>
  </si>
  <si>
    <t>001-023-18</t>
  </si>
  <si>
    <t>C.M. No. 002-037-2018</t>
  </si>
  <si>
    <t>PULXAR CONSULTING LTDA</t>
  </si>
  <si>
    <t>MANTENIMIENTO, SOPORTE Y DESARROLLO A LA PLATAFORMA SERVIDOR DE CORREO ELECTRÓNICO</t>
  </si>
  <si>
    <t>EL EXPEDIENTE NO SE ENCUENTRA ORGANIZADO PARA ENTREGAR AL ARCHIVO 04-04-19</t>
  </si>
  <si>
    <t>ING ERICK JAVIER CASTRO SÁNCHEZ</t>
  </si>
  <si>
    <t xml:space="preserve">
12-marzo-18
</t>
  </si>
  <si>
    <t>21-44-101268824</t>
  </si>
  <si>
    <t>4300001049</t>
  </si>
  <si>
    <t>20186010020500005E</t>
  </si>
  <si>
    <t>001-024-18</t>
  </si>
  <si>
    <t xml:space="preserve"> LICITACIÓN PÚBLICA </t>
  </si>
  <si>
    <t xml:space="preserve"> L.P. No. 002-114-2016 </t>
  </si>
  <si>
    <t xml:space="preserve"> SUMINISTRO </t>
  </si>
  <si>
    <t xml:space="preserve"> COMBUSTIBLES Y TRANSPORTES HERNÁNDEZ </t>
  </si>
  <si>
    <t>SUMINISTRO DE COMBUSTIBLES DE AVIACIÓN, CON DESTINO A LAS AERONAVES DE LA FUERZA PUBLICA, DE ESTADO Y DEMÁS ENTIDADES CON LAS CUALES SE TENGAN CONVENIOS, CONTRATOS, O ACUERDOS O QUE PRESTEN SUS SERVICIOS O ESTÉN EN CUMPLIMIENTO DE ALGUNA MISIÓN EN APOYO A LA FUERZA PÚBLICA, PARA SER ENTREGADO DONDE SE REQUIERA</t>
  </si>
  <si>
    <t xml:space="preserve"> CONTRATO ASOCIACION N° 191-2016 </t>
  </si>
  <si>
    <t xml:space="preserve"> ALFM </t>
  </si>
  <si>
    <t xml:space="preserve">31-jul-18 
30-dic-18                                                                      </t>
  </si>
  <si>
    <t xml:space="preserve">ADM. ESMERALDA RODRIGUEZ </t>
  </si>
  <si>
    <t xml:space="preserve">
14-marzo-18
</t>
  </si>
  <si>
    <t>CUMPLIMIENTO 
RESPONSABILIDAD CIVIL EXTRACONTRACTUAL</t>
  </si>
  <si>
    <t>14-44-101098412
14-40-101024782</t>
  </si>
  <si>
    <t>CUMPLIMIENTO
CALIDAD DEL SERVICIO
PAGO DE SALARIOS Y PRESTACIONES SOCIALES LEGALES E INDEMNIZACIONES LABORALES
RESPONSABILIDAD CIVIL EXTRACONTRACTUAL</t>
  </si>
  <si>
    <t>5100002057</t>
  </si>
  <si>
    <t>20186010020500008E</t>
  </si>
  <si>
    <t>Adicion No. 1                001-024-18</t>
  </si>
  <si>
    <t>Adicion No. 2               001-024-18</t>
  </si>
  <si>
    <t>Adicion No. 3               001-024-18</t>
  </si>
  <si>
    <t>Adicion No. 4               001-024-18</t>
  </si>
  <si>
    <t>Adicion No. 5               001-024-18</t>
  </si>
  <si>
    <t>001-025-18</t>
  </si>
  <si>
    <t>CONCURSO DE MÉRITOS</t>
  </si>
  <si>
    <t>CONCURSO MERITOS No. 002-014-2018</t>
  </si>
  <si>
    <t>INTERVENTORIA OBRA</t>
  </si>
  <si>
    <t>CONSORCIO SANTA MARIA</t>
  </si>
  <si>
    <t>INTERVENTORÍA TÉCNICA, FINANCIERA, JURÍDICA, ADMINISTRATIVA Y AMBIENTAL PARA LA OBRA DEL ESTABLECIMIENTO DE SANIDAD MILITAR UBICADO EN LA CIUDAD DE SANTIAGO DE CALI</t>
  </si>
  <si>
    <t>CENAC N° 749-2017</t>
  </si>
  <si>
    <t xml:space="preserve">30-abr-18 
30-jul-18
                                                                     </t>
  </si>
  <si>
    <t xml:space="preserve">ARQ. NESTOR CASTELLANOS </t>
  </si>
  <si>
    <t xml:space="preserve">
20-marzo-18
</t>
  </si>
  <si>
    <t>COMPAÑÍA ASEGURADORA DE FIANZAS</t>
  </si>
  <si>
    <t>31-GU129745
31-RE002155</t>
  </si>
  <si>
    <t>95.570.000,00
156.248.400,00</t>
  </si>
  <si>
    <t>4400000336</t>
  </si>
  <si>
    <t>Pendiente que haga entrega de la obra en la cual fue Interventor, cuyo plazo es 20-feb-19</t>
  </si>
  <si>
    <t>20186010020500010E</t>
  </si>
  <si>
    <t>Adicion No. 1                001-025-18</t>
  </si>
  <si>
    <t>30-ago.-18</t>
  </si>
  <si>
    <t>30-dic.-18</t>
  </si>
  <si>
    <t xml:space="preserve"> COMPAÑÍA ASEGURADORA DE FIANZAS </t>
  </si>
  <si>
    <t xml:space="preserve"> CUMPLIMIENTO
CALIDAD DEL SERVICIO
PAGO DE SALARIOS Y PRESTACIONES SOCIALES LEGALES E INDEMNIZACIONES LABORALES
RESPONSABILIDAD CIVIL EXTRACONTRACTUAL </t>
  </si>
  <si>
    <t xml:space="preserve"> 143.070.000,00
156.248.400,00 </t>
  </si>
  <si>
    <t>001-026-18</t>
  </si>
  <si>
    <t>002-041-18</t>
  </si>
  <si>
    <t>SUMINISTRO</t>
  </si>
  <si>
    <t>FLOTA LA MACARENA S.A.</t>
  </si>
  <si>
    <t xml:space="preserve">PASAJES TERRESTES NACIONALES FUNCIONARIOS A LA AGENCIA </t>
  </si>
  <si>
    <t>SUBDIRECTORA CONTRATACION</t>
  </si>
  <si>
    <t>5200000031</t>
  </si>
  <si>
    <t>001-027-18</t>
  </si>
  <si>
    <t>002-042-2018</t>
  </si>
  <si>
    <t>PROYECTOS INDUSTRIALES DE COLOMBIA SAS</t>
  </si>
  <si>
    <t>ADQUISICIÓN DE CINCO (5) HORNOS MICROHONDAS PARA LA OFICINA PRINCIPLA DE LA ALFM</t>
  </si>
  <si>
    <t>15 LEGALIZACION</t>
  </si>
  <si>
    <t>4200002504</t>
  </si>
  <si>
    <t>001-028-18</t>
  </si>
  <si>
    <t>002-039-2018</t>
  </si>
  <si>
    <t>SUMINSTRO</t>
  </si>
  <si>
    <t>KAREN</t>
  </si>
  <si>
    <t>SOLUTION COPY LTDA</t>
  </si>
  <si>
    <t>FICHEROS PARA LA ALFM</t>
  </si>
  <si>
    <t xml:space="preserve">LIQUIDACION UNILATERAL EN REVISION </t>
  </si>
  <si>
    <t xml:space="preserve">SE ENTREGO EN ARCHIV-05-03-2021 </t>
  </si>
  <si>
    <t>ADICION NO. 1 001-028-18</t>
  </si>
  <si>
    <t>SE ENTREGO EN ARCHIV-05-03-2022</t>
  </si>
  <si>
    <t>001-029-18</t>
  </si>
  <si>
    <t xml:space="preserve">SELECCIÓN ABREVIADA </t>
  </si>
  <si>
    <t>002-028-2018</t>
  </si>
  <si>
    <t>HECTOR</t>
  </si>
  <si>
    <t>MAPRE SEGUROS GENERALES DE COLOMBIA</t>
  </si>
  <si>
    <t>CONTRATAR LOS SEGUROS QUE AMPAREN LOS INTERESES PATRIMONIALES ACTUALES Y FUTUROS , ASI COMO LOS BIENES DE PROPIEDAD DE LA ALFM, QUE ESTEN BAJO SU RESPONSABILIDAD Y CUSTODIA Y AQUELLOS QUE SEAN ADQUIRIDOS PARA DESARROLLAR LAS FUNCIONES INHERENTES A SU ACTIVIDAD ASI COMO LA EXPEDICIÓN DE UNA PÓLIZA DE VIDA GRUPO PARA LOS BUZOS Y CUALQUIER OTRA PÓLIZA DE SEGUROS QUE REQUIERA LA ENTIDAD EN EL DESARROLLO DE SU ACTIVIDAD GRUPOS II III I IV</t>
  </si>
  <si>
    <t>EJECUCION</t>
  </si>
  <si>
    <t>4300001080</t>
  </si>
  <si>
    <t>Vigencia de polizas</t>
  </si>
  <si>
    <t>001-030-18</t>
  </si>
  <si>
    <t>002-030 de 2018</t>
  </si>
  <si>
    <t>CAROLD</t>
  </si>
  <si>
    <t>CONSORCIO BASAN 2018</t>
  </si>
  <si>
    <t>INTERVENTORÍA TÉCNICA, FINANCIERA, JURÍDICA, ADMINISTRATIVA Y AMBIENTAL PARA LA TERMINACIÓN DE LA CONSTRUCCIÓN DEL CENTRO DE REHABILITACIÓN FUNCIONAL BATALLÓN DE SANIDAD CFR -BASAN Ó EN BOGOTA D.C.</t>
  </si>
  <si>
    <t>1441-JEING</t>
  </si>
  <si>
    <t xml:space="preserve">LIQUIDADO </t>
  </si>
  <si>
    <t>JENNY ARENAS</t>
  </si>
  <si>
    <t>21-44-101270002  / 21-40 -101119194</t>
  </si>
  <si>
    <t>CUMPLIMIENTO-CALIDAD-SALARIOS Y PRESTACIONES SOCIALES - RCE</t>
  </si>
  <si>
    <t>95% Y 200 SMLV</t>
  </si>
  <si>
    <t>4400000340 ADICION NO. 1 4400000371</t>
  </si>
  <si>
    <t xml:space="preserve">EN ELABORACION ACTA DE LIQUIDACION </t>
  </si>
  <si>
    <t>20186030020500008E</t>
  </si>
  <si>
    <t>001-031-18</t>
  </si>
  <si>
    <t>SELECCIÓN ABREVIADA SUBASTA ELECTRONICA</t>
  </si>
  <si>
    <t>002-009-2018</t>
  </si>
  <si>
    <t>UNION TEMPORAL INCORPORACION 2018</t>
  </si>
  <si>
    <t>ADQUISICIÓN DE KIT DE INCORPORACIONES PARA EL SEGUNDO Y TERCER CONTINGENTE 2018 DEL EJÉRCITO NACIONAL, DE ACUERDO ANEXO No. 1 ESPECIFICACIONES TÉCNICAS CON DESTINO AL EJÉRCITO NACIONAL</t>
  </si>
  <si>
    <t>4400000341</t>
  </si>
  <si>
    <t>001-032-18</t>
  </si>
  <si>
    <t>002-040-2018</t>
  </si>
  <si>
    <t>PRESTACION DE SERVICIOS</t>
  </si>
  <si>
    <t>SEGURIDAD LASER LTDA</t>
  </si>
  <si>
    <t>PRESTACIÓN DEL SERVICIO DE VIGILANCIA Y SEGURIDAD PRIVADA A TODO COSTO PARA LA SEDE DE LA OFICINA PRINCIPAL, SEDE COMERCIAL Y ALMACÉN GENERAL DE LA ALFM</t>
  </si>
  <si>
    <t>LUIS HUMBERTO MONTOYA CONDE</t>
  </si>
  <si>
    <t>POLIZA</t>
  </si>
  <si>
    <t>SEGUROS DEL ESTADO SA</t>
  </si>
  <si>
    <t>15-44-10-11-95-277
15-40-1010510017</t>
  </si>
  <si>
    <t>CUMPLIMIENTO, CALIDAD , SALARIO Y RESPONSABILIDAD CIVIL</t>
  </si>
  <si>
    <t>4300001097</t>
  </si>
  <si>
    <t xml:space="preserve">El supervisor esta pendiente de allegar soporte para una Adicion y prorroga; toda vez que no tienen la autorizacion del ministerio de hacienda para la vigencia futura. </t>
  </si>
  <si>
    <t>20186010020500012E</t>
  </si>
  <si>
    <t>001-033-18</t>
  </si>
  <si>
    <t>002-105-2018</t>
  </si>
  <si>
    <t>SUMINISTROS</t>
  </si>
  <si>
    <t>ROSA YANETH</t>
  </si>
  <si>
    <t>SODEXO SERVICIOS DE BENEFICIOS E INCENTIVOS COLOMBIA</t>
  </si>
  <si>
    <t>ADQUISICIÓN DE BONOS PARA SUMINISTRO DE COMBUSTIBLE</t>
  </si>
  <si>
    <t>SUBDIRECCION GENERAL DE CONTRATACION</t>
  </si>
  <si>
    <t>SONIA MARCELA PEDRAZA</t>
  </si>
  <si>
    <t>5100002145</t>
  </si>
  <si>
    <t>001-034-18</t>
  </si>
  <si>
    <t>002-106-2018</t>
  </si>
  <si>
    <t>5100002158</t>
  </si>
  <si>
    <t>FALTA PUBLICAR LIQUIDACION</t>
  </si>
  <si>
    <t>001-035-18</t>
  </si>
  <si>
    <t>002-108-2018</t>
  </si>
  <si>
    <t>5100002146</t>
  </si>
  <si>
    <t>001-036-18</t>
  </si>
  <si>
    <t>002-046-2018</t>
  </si>
  <si>
    <t>COMPAÑIA INTEGRADORA DE TECNOLOGIA</t>
  </si>
  <si>
    <t>MANTENIMIENTO INTEGRAL A TODO COSTO CON SERVICIO DE MESA DE AYUDA PARA LA INFRAESTRUCTURA TECNOLÓGICA DE LA OFICINA PRINCIPAL DE LA AGENCIA LOGÍSTICA DE LAS FUERZAS MILITARES-ALFM</t>
  </si>
  <si>
    <t>NA</t>
  </si>
  <si>
    <t>ALFM</t>
  </si>
  <si>
    <t xml:space="preserve">12-44-101168664 </t>
  </si>
  <si>
    <t xml:space="preserve">CUMPLIMIENTO-CALIDAD-SALARIOS Y PRESTACIONES SOCIALES </t>
  </si>
  <si>
    <t>4300001120 / nuevo pedido51000002444</t>
  </si>
  <si>
    <t>CUMPLIDO, SE ALISTA PARA LIQUIDAR</t>
  </si>
  <si>
    <t>20186030020500018E</t>
  </si>
  <si>
    <t>001-037-18</t>
  </si>
  <si>
    <t>002-093-2018</t>
  </si>
  <si>
    <t>BRANDER IDEAS SAS</t>
  </si>
  <si>
    <t>HOSTING DESARROLLO, MANTENIMIENTO , SOPORTE DEL PORTAL WEB DE LA AFLM</t>
  </si>
  <si>
    <t>MARTHA GARCIA</t>
  </si>
  <si>
    <t>confianza</t>
  </si>
  <si>
    <t>GU076967</t>
  </si>
  <si>
    <t>CUMPLIMIENTO, CALIDAD DEL BIEN Y SERVICIO Y SALARIOS</t>
  </si>
  <si>
    <t>4300001136</t>
  </si>
  <si>
    <t>Se aplico multa $6.591.164,76 
Se tramito el saldo en diciembre/18 y enero/19 el supervisor reporta nuevamente incumplimiento se encuentra en debido proceso</t>
  </si>
  <si>
    <t>20186010020500083E</t>
  </si>
  <si>
    <t>001-038-18</t>
  </si>
  <si>
    <t>002-075-2018</t>
  </si>
  <si>
    <t>QUIALITAS SALUD OCUPACIONAL</t>
  </si>
  <si>
    <t>CONTRATAR LOS SERVICIOS PARA LA REALIZACION DE LA EVALUACIÓN MÉDICA PRE-OCUPACIONAL O PRE- INGRESO, EVALUACIONES MÉDICAS OCUPACIONALES PERIÓDICAS (PROGRAMADAS O POR CAMBIOS DE OCUPACIÓN) EVALUACIONES MÉDICAS POS OCUPACIONAL O DE EGRESO, EVALUACIONES MÉDICAS POR INCAPACIDAD Y LA REALIZACIÓN DE APT CON INFORME PARA LA ALFM</t>
  </si>
  <si>
    <t>YESENIA GOMEZ RODRIGUEZ</t>
  </si>
  <si>
    <t>ASEGURADORA SOLIDARIA</t>
  </si>
  <si>
    <t>875-47-994000007521</t>
  </si>
  <si>
    <t xml:space="preserve">CUMPLIMIENTO, CALIDAD Y SALARIOS </t>
  </si>
  <si>
    <t>4300001135</t>
  </si>
  <si>
    <t>Se realizo la adicion por 3,414,000 y prorroga hasta el 20 de diciembre de 2018; en tramite de legalizacion de polizas</t>
  </si>
  <si>
    <t>20186010020500013E</t>
  </si>
  <si>
    <t>adicion no. 1001-038-18</t>
  </si>
  <si>
    <t>ADICION NO. 2 001-038-18</t>
  </si>
  <si>
    <t>001-039-8</t>
  </si>
  <si>
    <t>002-094-2018</t>
  </si>
  <si>
    <t>ALLTECNOLOGICAL SERVISES ATS SAS</t>
  </si>
  <si>
    <t>MANTENIMIENTO PREVENTIVO Y CORRECTIVO CON REPUESTOS PARA LA PLANTA ELÉCTRICA DE LA SEDE PRINCIPAL DE LA ALFM</t>
  </si>
  <si>
    <t>YENNI JOHANA DAZA ROJAS</t>
  </si>
  <si>
    <t>POLIZAS</t>
  </si>
  <si>
    <t>33-44-101170174
33-40-101047135</t>
  </si>
  <si>
    <t>CUMPLIMIENTO, CALIDAD DE SERVICIO Y BIENES, SALARIO Y RESPONSABILIDAD CIVIL</t>
  </si>
  <si>
    <t>4300001134 nuevo numero 5100002532</t>
  </si>
  <si>
    <t>Cumplido, en proceso de liquidación</t>
  </si>
  <si>
    <t>20186010020500041E</t>
  </si>
  <si>
    <t>001-040-18</t>
  </si>
  <si>
    <t>002-107-2018</t>
  </si>
  <si>
    <t>SUMINISTRTO</t>
  </si>
  <si>
    <t>5100002148</t>
  </si>
  <si>
    <t>001-041-18</t>
  </si>
  <si>
    <t>002-109-2018</t>
  </si>
  <si>
    <t>5100002147</t>
  </si>
  <si>
    <t>001-042-18</t>
  </si>
  <si>
    <t>SELECCIÓN ABREVIADA SUBASTA INVERSA</t>
  </si>
  <si>
    <t>002-038-2018</t>
  </si>
  <si>
    <t>SUMINISTRO DE COMBUSTIBLES, GAS NATURAL VEHICULAR (GNV), GRASAS, LUBRICANTES, LÍQUIDO DE FRENOS, AGUA DE BATERÍA Y REFRIGERANTES PARA MOTOR EN EL TERRITORIO NACIONAL EN LAS DIFERENTES MODALIDADES DE ENTREGA O DONDE LOS CLIENTES DE LA ENTIDAD LO REQUIERAN LOTE 2. BONOS</t>
  </si>
  <si>
    <t>ELIZABETH LARA</t>
  </si>
  <si>
    <t>CHUBB SEGUROS  COLOMIBA S.A.</t>
  </si>
  <si>
    <t>45953 / 32459</t>
  </si>
  <si>
    <t>100%  200 SMLV</t>
  </si>
  <si>
    <t>5100002151 adicion 5100002546</t>
  </si>
  <si>
    <t xml:space="preserve">EN FIRMA DEL CONTRATISTA ACTA DE  LIQUIDACION </t>
  </si>
  <si>
    <t>20186030020500019E</t>
  </si>
  <si>
    <t>001-043-18</t>
  </si>
  <si>
    <t xml:space="preserve">DISTRACOM SA </t>
  </si>
  <si>
    <t>SUMINISTRO DE COMBUSTIBLES, GAS NATURAL VEHICULAR (GNV), GRASAS, LUBRICANTES, LÍQUIDO DE FRENOS, AGUA DE BATERÍA Y REFRIGERANTES PARA MOTOR EN EL TERRITORIO NACIONAL EN LAS DIFERENTES MODALIDADES DE ENTREGA O DONDE LOS CLIENTES DE LA ENTIDAD LO REQUIERAN LOTE 1. COMBUSTIBLE</t>
  </si>
  <si>
    <t xml:space="preserve">CORONEL OSCAR JARAMILLO </t>
  </si>
  <si>
    <t>ELVIS JOSE VASQUEZ</t>
  </si>
  <si>
    <t>LIBERTY SEGUROS S.A.S</t>
  </si>
  <si>
    <t>5100002167</t>
  </si>
  <si>
    <t xml:space="preserve">EN REVISION ACTA DE LIQUIDACION </t>
  </si>
  <si>
    <t>20186030020500029E</t>
  </si>
  <si>
    <t>001-044-18</t>
  </si>
  <si>
    <t>002-049-2018</t>
  </si>
  <si>
    <t>GAMMA INGENIEROS SAS</t>
  </si>
  <si>
    <t>RENOVACIÓN DE LA PLATAFORMA ANTIMALWARE PARA LA ALFM</t>
  </si>
  <si>
    <t>8 DIAS DESPUES DE LA LEGALIZACION</t>
  </si>
  <si>
    <t>CRISTIAN CRUZ</t>
  </si>
  <si>
    <t>ASEGURADORA DE FIANZAS CONFIANZA</t>
  </si>
  <si>
    <t>GU151293</t>
  </si>
  <si>
    <t>4300001127</t>
  </si>
  <si>
    <t>20186030020500020E</t>
  </si>
  <si>
    <t>001-045-18</t>
  </si>
  <si>
    <t>002-052-2018</t>
  </si>
  <si>
    <t>INSTITUTO DE NORMAS TECNICAS Y CERTIFICACIÓN</t>
  </si>
  <si>
    <t>CONTRATAR EL SERVICIO DE UN ENTE CERTIFICADOR PARA LOS LOTES DE RACIONES DE CAMPAÑA, EVALUACIÓN DE PARÁMETROS DE CALIDAD DE CAFÉ EN GRANO Y MOLIDO Y OTROS PRODUCTOS O MATERIAS PRIMAS PARA LA AGENCIA LOGÍSTICA DE LAS FUERZAS MILITARES</t>
  </si>
  <si>
    <t>MARTHA GARZON</t>
  </si>
  <si>
    <t>JMALUCELLI TRAVELERS SEGUROS S.A</t>
  </si>
  <si>
    <t>75% Y 200 SMLV</t>
  </si>
  <si>
    <t>5100002216                   ADICION 1 4300001717               ADICION  2  4300001865</t>
  </si>
  <si>
    <t>20186030020500021E</t>
  </si>
  <si>
    <t>001-046-18</t>
  </si>
  <si>
    <t>LICITACIÓN PÚBLICA</t>
  </si>
  <si>
    <t>002-047-2015</t>
  </si>
  <si>
    <t>UNION TEMPRAL LA PREVISORA COMPAÑÍA DE SEGUROS CHUBB SEGUROS S.A.</t>
  </si>
  <si>
    <t>CONTRATAR LOS SEGUROS QUE AMPAREN LOS INTERESES PATRIMONIALES ACTUALES Y FUTUROS, ASI COMO LOS BIENES DE PROPIEDAD DE LA ALFM QUE ESTEN BAJO SU RESPONSABILIDAD Y CUSTODIA Y AQUELLOS QUE SEAN ADQUIRIDOS PARA DESARROLLAR LAS FUNCIONES</t>
  </si>
  <si>
    <t>365 dias</t>
  </si>
  <si>
    <t>OLGA GUEVARA</t>
  </si>
  <si>
    <t>4300001131</t>
  </si>
  <si>
    <t xml:space="preserve">EN FIRMA DEL ORDENADOR DEL GSATO ACTA DE  LIQUIDACION </t>
  </si>
  <si>
    <t>20186030020500022E</t>
  </si>
  <si>
    <t>001-047-18</t>
  </si>
  <si>
    <t>UNION TEMPORAL AEROESPACE</t>
  </si>
  <si>
    <t>SUMINISTRO DE COMBUSTIBLES, GAS NATURAL VEHICULAR (GNV), GRASAS, LUBRICANTES, LÍQUIDO DE FRENOS, AGUA DE BATERÍA Y REFRIGERANTES PARA MOTOR EN EL TERRITORIO NACIONAL EN LAS DIFERENTES MODALIDADES DE ENTREGA O DONDE LOS CLIENTES DE LA ENTIDAD LO REQUIERAN LOTE 3. GRASAS, LUBRICANTES, LÍQUIDO DE FRENOS, AGUA DE BATERÍA Y REFRIGERANTES PARA MOTOR</t>
  </si>
  <si>
    <t>ESMERALDA RODRIGUEZ</t>
  </si>
  <si>
    <t xml:space="preserve">18-44-101055497  / 18-40-101035919 </t>
  </si>
  <si>
    <t>5100002163</t>
  </si>
  <si>
    <t>20186030020500023E</t>
  </si>
  <si>
    <t>ENTREGADO AL ARCHIVO -03-08-21</t>
  </si>
  <si>
    <t>ADICION No.1
001-047-18</t>
  </si>
  <si>
    <t>ADICION No.2
001-047-18</t>
  </si>
  <si>
    <t>ADICION No.3
001-047-18</t>
  </si>
  <si>
    <t>ADICION No.4
001-047-18</t>
  </si>
  <si>
    <t>ADICION No.5
001-047-18</t>
  </si>
  <si>
    <t>001-048-18</t>
  </si>
  <si>
    <t>002-033-2018</t>
  </si>
  <si>
    <t>CI FUEL SERVICES SA.S</t>
  </si>
  <si>
    <t>SUMINISTRO A TODO COSTO DE COMBUSTIBLES, GRASAS Y LUBRICANTES EN PUERTOS NACIONALES E INTERNACIONALES</t>
  </si>
  <si>
    <t>ARMADA NACIONAL</t>
  </si>
  <si>
    <t>BERKLEY INTERNATIONAL SEGUROS COLOMBIA S.A</t>
  </si>
  <si>
    <t>17186 /  6664</t>
  </si>
  <si>
    <t>5100002156                   Adicion 1 $ 1.00.000.000  5100002778                 Adicion No. 2 $ 107,500,000 5100002815</t>
  </si>
  <si>
    <t>20186030020500024E</t>
  </si>
  <si>
    <t>001-049-18</t>
  </si>
  <si>
    <t>002-076-2018</t>
  </si>
  <si>
    <t>DESING TECNOLOGY</t>
  </si>
  <si>
    <t>900607241-1</t>
  </si>
  <si>
    <t>SUMINISTROS DE INSUMOS DE IMPRESIÓN PARA LA OFICINA PRINCIPAL DE LA ALFM</t>
  </si>
  <si>
    <t>CARLOS EDUARDO BARRIOS</t>
  </si>
  <si>
    <t>340-47-99400038618</t>
  </si>
  <si>
    <t>5000000092</t>
  </si>
  <si>
    <t>se paso el tramite de pago total</t>
  </si>
  <si>
    <t>20186010020500014E</t>
  </si>
  <si>
    <t>ADICION No.1
001-049-18</t>
  </si>
  <si>
    <t>N/A</t>
  </si>
  <si>
    <t>001-050-18</t>
  </si>
  <si>
    <t>002-050-2018</t>
  </si>
  <si>
    <t>MANTENIMIENTO</t>
  </si>
  <si>
    <t>HYUNDAUTOS S.A.S</t>
  </si>
  <si>
    <t>MANTENIMIENTO PREVENTIVO Y CORRECTIVO A TODO COSTO DE LOS VEHÍCULOS ADMINISTRATIVOS DE LA OFICINA PRINCIPAL DE LA AGENCIA LOGÍSTICA DE LAS FUERZAS MILITARES.</t>
  </si>
  <si>
    <t>02.05.2018</t>
  </si>
  <si>
    <t>PENDIENTE PROCEDIMIENTO ADMON SANCIONATORIO / PENDIENTE FIRMA ACTA DE LIQUIDACION ORDENADOR DEL GASTO</t>
  </si>
  <si>
    <t>MUNDIAL DE SEGUROS S.A.S</t>
  </si>
  <si>
    <t xml:space="preserve">NB-100090000 </t>
  </si>
  <si>
    <t>4300001144</t>
  </si>
  <si>
    <t xml:space="preserve">EN FIRMA DEL CONTRATISTA  </t>
  </si>
  <si>
    <t>001-051-18</t>
  </si>
  <si>
    <t>002-099-2018</t>
  </si>
  <si>
    <t>IFX NETWORKS DE COLOMBIA S.S.</t>
  </si>
  <si>
    <t>PRESTACIÓN DE SERVICIOS DE INTERNET Y CANALES DEDICADOS PARA LA ALFM</t>
  </si>
  <si>
    <t>JINETH DANIELA CARO QUIROGA</t>
  </si>
  <si>
    <t xml:space="preserve">18-44-101055582 / 18-40-101036037 </t>
  </si>
  <si>
    <t>45% Y 200 SMLV</t>
  </si>
  <si>
    <t>5100002150</t>
  </si>
  <si>
    <t>001-052-18</t>
  </si>
  <si>
    <t>002-098-2018</t>
  </si>
  <si>
    <t>COMPRAVENTA</t>
  </si>
  <si>
    <t>E BUSINESS OUTSOURCING S.A.A</t>
  </si>
  <si>
    <t>ADQUISICIÓN DE DOTACIÓN PERSONAL OPERARIO DE LA ALFM</t>
  </si>
  <si>
    <t>SUBDIRECTOR DE COTNRATACIÓN</t>
  </si>
  <si>
    <t xml:space="preserve">NANCY YEPES GONZALEZ </t>
  </si>
  <si>
    <t>12-44-101169042</t>
  </si>
  <si>
    <t>4200003034</t>
  </si>
  <si>
    <t>20186010020500039E</t>
  </si>
  <si>
    <t>001-053-18</t>
  </si>
  <si>
    <t>002-100-2018</t>
  </si>
  <si>
    <t>MEGASERVICE GVM LTDA</t>
  </si>
  <si>
    <t>SEÑALIZACIÓN, DEMARCACIÓN, ADQUISICIÓN, RECARGA Y MANTENIMIENTO DE EXTINTORES EN ALFFMM- OFICINA PRINICPAL</t>
  </si>
  <si>
    <t>SUBDIRECTOR DE CONTRATACION</t>
  </si>
  <si>
    <t>DIANA FERNANDA CORREAL</t>
  </si>
  <si>
    <t>4000001098 4300001489</t>
  </si>
  <si>
    <t>20186010020500072E</t>
  </si>
  <si>
    <t>001-054-18</t>
  </si>
  <si>
    <t>002-101-2018</t>
  </si>
  <si>
    <t>BRANDER IDEAS</t>
  </si>
  <si>
    <t>MANTENIMIENTO, SOPORTE Y DESARROLLO DE LA INTRANET DE LA ALFM</t>
  </si>
  <si>
    <t>CONFIANZA</t>
  </si>
  <si>
    <t>GU077139</t>
  </si>
  <si>
    <t>CUMPLIMIENTO, CALIDAD DEL SERVIICO Y BIEN, SALARIO Y RESPONSABILIDAD CIVIL</t>
  </si>
  <si>
    <t>4300001152</t>
  </si>
  <si>
    <t>20186010020500015E</t>
  </si>
  <si>
    <t>001-055-18</t>
  </si>
  <si>
    <t>002-103-2018</t>
  </si>
  <si>
    <t>COMERCIALIZADORA ELECTRON SAS</t>
  </si>
  <si>
    <t>ADQUISICIÓN DE MATERIALES DE CONSTRUCCIÓN Y ELEMENTOS DE FERRETERIA PARA LA OFICINA PRINCIPAL DE LA ALFM.</t>
  </si>
  <si>
    <t>36-44-101041382</t>
  </si>
  <si>
    <t>CUMPLIMIENTO, CALIDAD Y PAGOS DE SALARIOS</t>
  </si>
  <si>
    <t>20186010020500084E</t>
  </si>
  <si>
    <t>001-056-18</t>
  </si>
  <si>
    <t>002-117-2018</t>
  </si>
  <si>
    <t>MANUFACTURAS CAPITEX</t>
  </si>
  <si>
    <t>ADQUISICIÓN DE ELEMENTOS DE LOS BOTIQUINES Y EQUIPOS DE MEDICIÓN PARA LA ALFM</t>
  </si>
  <si>
    <t>SUBDIRECTOR GENERAL DE CONTRATACIÓN</t>
  </si>
  <si>
    <t>CLAUDIA YESENIA RODRIGUEZ</t>
  </si>
  <si>
    <t>ASEGURADORA SOLIDARIA DE COLOMBIA S.A”</t>
  </si>
  <si>
    <t xml:space="preserve">390-47-994000043353 </t>
  </si>
  <si>
    <t>4000001028-40000001029</t>
  </si>
  <si>
    <t>2. El 4-oct-18 se efectúo 1er  trámite</t>
  </si>
  <si>
    <t>20186030020500026E</t>
  </si>
  <si>
    <t>001-057-18</t>
  </si>
  <si>
    <t>001-104-2018</t>
  </si>
  <si>
    <t>DISTRIBUIDORA BOYPAN SAS</t>
  </si>
  <si>
    <t>ADQUISICIÓN DE MATERIAS PRIMAS PARA LA PRODUCCIÓN DE PRODUCTOS DE PANIFICACIÓN</t>
  </si>
  <si>
    <t>LUIS CARLOS CHAVARRO B.</t>
  </si>
  <si>
    <t xml:space="preserve">11-44-101123174 </t>
  </si>
  <si>
    <t>4200002716</t>
  </si>
  <si>
    <t>3. La supervisora salio de vacaciones quedo encargada Diana Estrada, a partir 10-octubre hasta 31-octubre-18.</t>
  </si>
  <si>
    <t>20186030020500031E</t>
  </si>
  <si>
    <t>001-058-18</t>
  </si>
  <si>
    <t>002-121-2018</t>
  </si>
  <si>
    <t>GOLD SYS LTDA</t>
  </si>
  <si>
    <t>ADQUISICIÓN DE LICENCIAS DEL SOFTWARE CREATIVE CLOUD Y MICROSOFT POWER BI PARA LA ALFM</t>
  </si>
  <si>
    <t>CAMILO ADOLFO GONZALEZ</t>
  </si>
  <si>
    <t>11-44-11123513</t>
  </si>
  <si>
    <t>4200002742</t>
  </si>
  <si>
    <t>LIQUIDADO
10-OCT-18</t>
  </si>
  <si>
    <t>20186010020500004E</t>
  </si>
  <si>
    <t>001-059-18</t>
  </si>
  <si>
    <t>002-055-2018</t>
  </si>
  <si>
    <t>HR SOLUTIOS SAS</t>
  </si>
  <si>
    <t>ACTUALIZACIÓN Y MANTENIMIENTO DE LICENCIAMIENTO SAP PARA LA ALFM</t>
  </si>
  <si>
    <t>YURI DAIANNI FRANCO</t>
  </si>
  <si>
    <t>22-05-20180</t>
  </si>
  <si>
    <t xml:space="preserve">18-44-101055831 </t>
  </si>
  <si>
    <t>4300001224</t>
  </si>
  <si>
    <t>20186030020500033E</t>
  </si>
  <si>
    <t>001-060-18</t>
  </si>
  <si>
    <t>002-095-2018</t>
  </si>
  <si>
    <t>COMPRA VENTA</t>
  </si>
  <si>
    <t>MAICROTEL SAS</t>
  </si>
  <si>
    <t>RENOVACIÓN DE LA PLATAFORMA DEL SISTEMA DE VIDEO CONFERENCIA AVAYA PARA LA ALFM</t>
  </si>
  <si>
    <t>15 DIAS</t>
  </si>
  <si>
    <t>LIBERTY SEGUROS S.A.</t>
  </si>
  <si>
    <t>4300001237</t>
  </si>
  <si>
    <t>20186030020500034E</t>
  </si>
  <si>
    <t>001-061-18</t>
  </si>
  <si>
    <t>002-096-2018</t>
  </si>
  <si>
    <t>PSICONSULTING SAS</t>
  </si>
  <si>
    <t xml:space="preserve">
900.976.660</t>
  </si>
  <si>
    <t>PRESTAR EL SERVICIO DE CONSULTORIA ESPECIALIZADA A TODO COSTO PARA LA APLICACIÓN, ENTREGA DE INFORME CON ANÁLISIS, RESULTADOS Y RECOMENDACIONES DE LA BATERIA DE RIESGO PSICOSOCIAL EN LA ALFM A NIVEL NACIONAL</t>
  </si>
  <si>
    <t xml:space="preserve">SUBDIRECTOR DE CONTRATACION </t>
  </si>
  <si>
    <t>YOANA MIREYA ROJAS MUÑOZ</t>
  </si>
  <si>
    <t>17-44-101165009</t>
  </si>
  <si>
    <t>43000001243</t>
  </si>
  <si>
    <t>20186010020500042E</t>
  </si>
  <si>
    <t>001-062-18</t>
  </si>
  <si>
    <t>002-073-2018</t>
  </si>
  <si>
    <t>CI FUEL SERVICES S.A.</t>
  </si>
  <si>
    <t>SUMINISTRO DE COMBUSTIBLES DE AVIACIÓN LOTES 44, 47, 49 Y 50</t>
  </si>
  <si>
    <t>005-MDN-ARC-JOLA 2016 VIG 2018</t>
  </si>
  <si>
    <t>31-dic.-18</t>
  </si>
  <si>
    <t>30-abr.-19</t>
  </si>
  <si>
    <t xml:space="preserve"> SEGUROS DEL ESTADO S.A. </t>
  </si>
  <si>
    <t>41-44-101202458
41-40-101032679</t>
  </si>
  <si>
    <t>663.000.000,00
156.248.400,00</t>
  </si>
  <si>
    <t>5100002268</t>
  </si>
  <si>
    <t>Sin novedad</t>
  </si>
  <si>
    <t>20186010020500031E</t>
  </si>
  <si>
    <t>ADICIONAL N° 1 AL 001-062-18</t>
  </si>
  <si>
    <t>001-063-18</t>
  </si>
  <si>
    <t>ICARO DIECISIETE S.A.S</t>
  </si>
  <si>
    <t>SUMINISTRO DE COMBUSTIBLE DE AVIACIÓN  LOTES 5,7,10,12,13,16,19,21,22,23,26,30,31,33,37,42,46,48</t>
  </si>
  <si>
    <t>005-MDN-ARC-JOLA 2016 VIG 2018
0141-ARC-BN6-2018</t>
  </si>
  <si>
    <t>15-ago-18
28-nov-18</t>
  </si>
  <si>
    <t>11-44-101123852
11-40-101028111</t>
  </si>
  <si>
    <t>545.700.000,00
156.248.000,00</t>
  </si>
  <si>
    <t>5100002266</t>
  </si>
  <si>
    <t>20186010020500011E</t>
  </si>
  <si>
    <t>ADICIONAL N° 001-063-18</t>
  </si>
  <si>
    <t>lIQUIDADO</t>
  </si>
  <si>
    <t xml:space="preserve">ENTRWGADO ARCHIVO </t>
  </si>
  <si>
    <t>001-064-18</t>
  </si>
  <si>
    <t>002-097-2018</t>
  </si>
  <si>
    <t>ALPHAPACK S.A.S</t>
  </si>
  <si>
    <t>ADQUISICIÓN MATERIAL DE EMPAQUE</t>
  </si>
  <si>
    <t>MUNDIAL DE SEGUROS S.A.</t>
  </si>
  <si>
    <t xml:space="preserve">CCN-1000000026 / CCN-100000007 </t>
  </si>
  <si>
    <t>5100002270</t>
  </si>
  <si>
    <t>CUMPLIDO SE PASA A LIQUIDACONES</t>
  </si>
  <si>
    <t>20186030020500032E</t>
  </si>
  <si>
    <t>001-065-18</t>
  </si>
  <si>
    <t>002-123-2018</t>
  </si>
  <si>
    <t>GRUPO 2 (ANDREA/FABIO/KAREN/ZANDRA)</t>
  </si>
  <si>
    <t>UNIVERSIDAD LA GRAN COLOMBIA</t>
  </si>
  <si>
    <t>PRESTAR A LA AGENCIA LOGISTICA DE LAS FUERZAS MILITARES, LOS SERVICIOS DE CAPACITACIÓN EN EL DIPLOMADO DE 80 HORAS EN INNOVACIÓN CORPORATIVA "PARA LA EJECUCIÓN DEL PLAN INSTITUCIONAL DE CAPACITACION PIC 2018”</t>
  </si>
  <si>
    <t xml:space="preserve">No </t>
  </si>
  <si>
    <t>ENTREGADO AL ARCHIVO 05-03-19</t>
  </si>
  <si>
    <t>SUBDIRECTOR DE CONTRATACIÓN</t>
  </si>
  <si>
    <t>ALIX ARIZA CHACON</t>
  </si>
  <si>
    <t>52.427.837.</t>
  </si>
  <si>
    <t>21-44-101274005</t>
  </si>
  <si>
    <t>20%50%5%</t>
  </si>
  <si>
    <t>43000001235</t>
  </si>
  <si>
    <t>SE CANCELA EL VALOR TOTAL DEL CONTRATO, UNA VEZ SE RECIBA A SATISFACCIÓN EL OBJETO CONTRACTUAL</t>
  </si>
  <si>
    <t>001-066-18</t>
  </si>
  <si>
    <t>002-124-2018</t>
  </si>
  <si>
    <t>HR SOLUTIONS</t>
  </si>
  <si>
    <t>SOPORTE Y MANTENIMIENTO PARA EL MODULO HCM-SAP PARA AL ALFM</t>
  </si>
  <si>
    <t xml:space="preserve">18-44-101056012
</t>
  </si>
  <si>
    <t>CUMPLIMIENTO. CALIDAD Y SALARIOS</t>
  </si>
  <si>
    <t>4300001167</t>
  </si>
  <si>
    <t>Pendiente realizar el reintegro</t>
  </si>
  <si>
    <t>20186010020500078E</t>
  </si>
  <si>
    <t>001-067-18</t>
  </si>
  <si>
    <t>002-119-2018</t>
  </si>
  <si>
    <t>SOLUCIONES INTEGRALES UNION SAS</t>
  </si>
  <si>
    <t>SUMINISTRO Y PUESTA EN SITIO DE MATERIALES DE EMULSIÓN ASFÁLTICA TIPÓ CRL-1 Y MEZCLA ASFALTICA TIPO MDC-19 PARA LA CONSTRUCCIÓN DE LA CARRETERA QUE CONDUCE A LAS INSTALACIONES DE LA ARMADA NACIONAL EN LA ISLA NAVAL DE BUENAVENTURA CON LA ISLA NAVAL QUE CONDUCE A LAS INSTALACIONES DEL PUERTO DE AGUADULCE EN EL PUNTO KM18+315</t>
  </si>
  <si>
    <t xml:space="preserve">FAVIO EMERSON GARCIA </t>
  </si>
  <si>
    <t>SEGUROS COMERCIALES BOLIVAR</t>
  </si>
  <si>
    <t>1523123519901 / 1523123157301</t>
  </si>
  <si>
    <t>100% Y 200 SMLV</t>
  </si>
  <si>
    <t>4400000347</t>
  </si>
  <si>
    <t>EL SUPERVISOR ENTREGO INFORME POR POSIBLE INCUMPLIMIENTO</t>
  </si>
  <si>
    <t>20186030020500036E</t>
  </si>
  <si>
    <t>001-068-18</t>
  </si>
  <si>
    <t>002-138-2018</t>
  </si>
  <si>
    <t>CT+INNOVA S.A.S</t>
  </si>
  <si>
    <t>ACTUALIZACIÓN, MANTENIMIENTO, SOPORTE Y DESARROLLO DEL SOFTWARE VCDIAL PARA LA ALFM</t>
  </si>
  <si>
    <t xml:space="preserve">JOSUA  CHAVES OLMOS </t>
  </si>
  <si>
    <t>CUMPLIMIENTO-CALIDAD-SALARIOS Y PRESTACIONES SOCIALES</t>
  </si>
  <si>
    <t>4300001223</t>
  </si>
  <si>
    <t>20186030020500037E</t>
  </si>
  <si>
    <t>001-069-18</t>
  </si>
  <si>
    <t>002-116-2018</t>
  </si>
  <si>
    <t>GERARDO LUNA ORTIZ</t>
  </si>
  <si>
    <t>MANTENIMIENTO DE LAS INSTALACIONES HIDROSANITARIAS DEL ALOJAMIENTO DE TROPA DE LA BRIGADA DE INGENIEROS EN EL CENTRO NACIONAL DE ENTRENAMIENTO CENAE EN TOLEMAIDA CUNDINAMARCA</t>
  </si>
  <si>
    <t>ASEGURADORA SOLIDARIA DE COLOMBIA</t>
  </si>
  <si>
    <t xml:space="preserve">560-47-994000121059 / 560-74-994000023202 </t>
  </si>
  <si>
    <t>4300001315</t>
  </si>
  <si>
    <t>CUMPLIDO</t>
  </si>
  <si>
    <t>20186030020500001E</t>
  </si>
  <si>
    <t>001-070-18</t>
  </si>
  <si>
    <t>002-145-2018</t>
  </si>
  <si>
    <t>LUGOAP SERVICIOS TEMPORALES S.A.S.</t>
  </si>
  <si>
    <t>CONTRATAR UNA EMPRESA PARA EL SUMINISTRO DE PERSONAL OPERATIVO DE APOYO A LAS UNIDADES DE NEGOCIO DE LA DIRECCIÓN DE PRODUCCIÓN DE LA ALFM</t>
  </si>
  <si>
    <t>FAIVER GOMEZ</t>
  </si>
  <si>
    <t xml:space="preserve">11-44-101124207 / 11-40-101028247 </t>
  </si>
  <si>
    <t>43000001244</t>
  </si>
  <si>
    <t>20186030020500041E</t>
  </si>
  <si>
    <t>Adicion no. 1  contrato 001-070-18</t>
  </si>
  <si>
    <t>ENTREGADO EN ARCHIVO</t>
  </si>
  <si>
    <t>001-071-18</t>
  </si>
  <si>
    <t>002-114-2018</t>
  </si>
  <si>
    <t xml:space="preserve">HUGUES LEONARDO BARROS MENDOZA </t>
  </si>
  <si>
    <t>MANTENIMIENTO A TODO COSTO DE LA INFRAESTRUCTURA DEL PUESTO MILITAR DE INFANTERA DE MARINA MAMONAL DEL BATALLÓN DE INFANTERIA DE MARINA No. 12</t>
  </si>
  <si>
    <t xml:space="preserve">ENTREGADO ARCHIVO </t>
  </si>
  <si>
    <t>SEGUROS GENERALES SURAMERICANA</t>
  </si>
  <si>
    <t>2125105-1 / 0567201-8</t>
  </si>
  <si>
    <t>solicitud 700000452 contrato 4400000348</t>
  </si>
  <si>
    <t>20186030020500040E</t>
  </si>
  <si>
    <t>001-072-18</t>
  </si>
  <si>
    <t>CONSULTORIAS INTEGRALES Y SOLUCIONES INFORMATICAS CONTABLES Y ADMINISTRATIVAS S.A.A CISC S.A.S.</t>
  </si>
  <si>
    <t>ACTUALIZACIÓN, MANTENIMIENTO, SOPORTE Y DESARROLLO DEL SISTEMA DE GESTIÓN DOCUMENTAL ORFEO PARA LA ALFM</t>
  </si>
  <si>
    <t xml:space="preserve">RUBIELA ZABALA P </t>
  </si>
  <si>
    <t>14-44-101100449</t>
  </si>
  <si>
    <t>4300001214</t>
  </si>
  <si>
    <t>20186030020500042E</t>
  </si>
  <si>
    <t>001-073-18</t>
  </si>
  <si>
    <t>002-044-2018</t>
  </si>
  <si>
    <t>SUMINISTRO DE COMBUSTIBLE MARITIMO</t>
  </si>
  <si>
    <t>313 SUBAFIN DIMAR 2017</t>
  </si>
  <si>
    <t>22/</t>
  </si>
  <si>
    <t>90.99.035</t>
  </si>
  <si>
    <t>4144101202751 Y RC 414010103275</t>
  </si>
  <si>
    <t>30%50%5% Y 200 SMLMV</t>
  </si>
  <si>
    <t>5100002320</t>
  </si>
  <si>
    <t>AUNQUE A LA FECHA NO SE TIENE CERTEZA DE LA PRESENTE INFORMACIÓN, EL DIRECTOR DE COMBUSTIBLE INDICO VIA TELEFONICA QUE LOS FUTUROS PAGOS DEL PRESENTE PROCESO SERAN CARGADOS AL INTER 141-2018.</t>
  </si>
  <si>
    <t>001-074-18</t>
  </si>
  <si>
    <t>ORGANIZACIÓN TERPEL S.A.</t>
  </si>
  <si>
    <t>SUMINISTRO DE COMBUSTIBLE FLUVIAL Y MARITIMO</t>
  </si>
  <si>
    <t>005-MDN-ARC-JOLA-201-2018</t>
  </si>
  <si>
    <t xml:space="preserve">SURAMERICANA DE SEGUROS </t>
  </si>
  <si>
    <t>2126093-4 Y RC 0567478-0</t>
  </si>
  <si>
    <t>5100002322</t>
  </si>
  <si>
    <t>001-075-18</t>
  </si>
  <si>
    <t>002-043-2018</t>
  </si>
  <si>
    <t>SUPERIOR DE DOTACIONES SAS</t>
  </si>
  <si>
    <t>ADQUISICIÓN DE ELEMENTOS DE PROTECCIÓN PERSONAL PARA LOS FUNCIONARIOS DE LA ALFM</t>
  </si>
  <si>
    <t>19918
110018</t>
  </si>
  <si>
    <t>17-46-101007044</t>
  </si>
  <si>
    <t>CUMPLIMIENTO, CALIDAD Y PAGO DE SALARIOS</t>
  </si>
  <si>
    <t>Liquidado el 28 de noviembre de 2018</t>
  </si>
  <si>
    <t>20186010020500074E</t>
  </si>
  <si>
    <t>001-076-18</t>
  </si>
  <si>
    <t>002-048-2018</t>
  </si>
  <si>
    <t>PORTES DE COLOMBIA SAS</t>
  </si>
  <si>
    <t>SERVICIOS DE TRANSPORTE TERRESTRE Y AÉREO PARA LA DISTRIBUCIÓN DE CAFÉ, RACIONES DE CAMPAÑA, PRODUCTOS DE PANADERIA Y OTROS BIENES DE LA ALFM A LOS DIFERENTES DESTINOS DEL TERRITORIO NACIONAL</t>
  </si>
  <si>
    <t>martha garzon</t>
  </si>
  <si>
    <t>63-44-1010416634
36-40-1010-154-42</t>
  </si>
  <si>
    <t>CUMPLIMIENTO, CALIDAD, TRANSPORTE DE MERCANCIA, SALARIO Y RESPONSABILIDAD CIVIL</t>
  </si>
  <si>
    <t>43000001240</t>
  </si>
  <si>
    <t>20186010020500040E</t>
  </si>
  <si>
    <t>001-077-18</t>
  </si>
  <si>
    <t>002-126-2018</t>
  </si>
  <si>
    <t>COMERCIALIZADORA SEVERAL PARTS SAS</t>
  </si>
  <si>
    <t>SUMINISTRO DE REPUESTOS PARA VEHÍCULOS, EQUIPOS Y MAQUINARÍA REQUERIDOS EN LA CONSTRUCCIÓN DE LA CARRETERA QUE COMUNICA LAS INSTALACIONES DE LA ARC EN LA ISLA NAVAL DE BUENAVENTURA CON LA VÍA QUE CONDUCE A LAS INSTALACIONES DEL PUESTO DE AGUA DULCE</t>
  </si>
  <si>
    <t>14-46-101022437</t>
  </si>
  <si>
    <t>4400000349</t>
  </si>
  <si>
    <t>20186030020500038E</t>
  </si>
  <si>
    <t>001-078-18</t>
  </si>
  <si>
    <t>002-146-2018</t>
  </si>
  <si>
    <t>BUSINESS AND BUSINESS AUDITORES SOCIEDAD LIMITADA</t>
  </si>
  <si>
    <t>CONTRATAR UN SERVICIO DE CONSULTORÍA QUE ASESORE, IMPLEMENTE, EJECUTE, ASISTA TÉCNICAMENTE A LA AGENCIA LOGÍSTICA DE LAS FUERZAS MILITARES, EN EL PROCESO DE CONVERGENCIA DE LA INFORMACIÓN FINANCIERA DE LA AGENCIA LOGÍSTICA DE LAS FUERZAS MILITARES Y REALICE LAS ACCIONES NECESARIAS PARA IMPLEMENTAR EL NUEVO MARCO NORMATIVO EN NICSP DISPUESTO POR LA CONTADURÍA GENERAL DE LA NACIÓN MEDIANTE RESOLUCIÓN 533 DEL 8 DE OCTUBRE DE 2015, INSTRUCTIVO 02 DE 2015, LOS DOCUMENTOS ANEXOS DE LAS CITADAS RESOLUC</t>
  </si>
  <si>
    <t xml:space="preserve">ENTREGADO ALARCHIVO </t>
  </si>
  <si>
    <t>4300001246</t>
  </si>
  <si>
    <t>NO ESTA EN EL GRUPO 1</t>
  </si>
  <si>
    <t>001-079-18</t>
  </si>
  <si>
    <t>002-079-2018</t>
  </si>
  <si>
    <t>RIDA SOLUCIONES INTEGRALES SAS</t>
  </si>
  <si>
    <t>MANTENIMIENTO PREVENTIVO, CORRECTIVO CON REPUESTOS PARA LAS PUERTAS DE ACCESO-SEDE PRINCIPAL DE LA ALFM</t>
  </si>
  <si>
    <t>17-44-101165307</t>
  </si>
  <si>
    <t xml:space="preserve">CUMPLIMIENTO-CALIDAD BIENES-CALIDAD SERVICIO-SALARIOS Y PRESTACIONES SOCIALES </t>
  </si>
  <si>
    <t>520000054</t>
  </si>
  <si>
    <t>001-080-18</t>
  </si>
  <si>
    <t>002-133-2018</t>
  </si>
  <si>
    <t>SMI ELECTRONICA S.A.S</t>
  </si>
  <si>
    <t>CONTRATAR EL SERVICIO DE MANTENIMIENTO PREVENTIVO Y CORRECTIVO A TODO COSTO PARA MAQUINAS Y EQUIPOS DE LA PLANTA DE PANADERIA DE LA ALFM -DIRECCIÓN PRODUCCIÓN</t>
  </si>
  <si>
    <t>YAMILE BETANCOURTH</t>
  </si>
  <si>
    <t>CMTO. 380-47-994000089059   RE. 38074994000011359</t>
  </si>
  <si>
    <t>35%50%5% 200SMLMV</t>
  </si>
  <si>
    <t>RE. $ 156248400</t>
  </si>
  <si>
    <t>001-081-18</t>
  </si>
  <si>
    <t>002-125-2018</t>
  </si>
  <si>
    <t>SOLUCIONES TECNOLOGIA Y SERVICIOS SA</t>
  </si>
  <si>
    <t>RENOVACIÓN DEL SOFTWARE MAINTENANCE - SWMA DEL SERVIDOR IBM QUE SOPORTA SAP - ERP DE LA ALFM</t>
  </si>
  <si>
    <t>CARPETA SIN ORANIZAR</t>
  </si>
  <si>
    <t>CESAR GONZALEZ PEÑA</t>
  </si>
  <si>
    <t>2144101276042
21-40-101123329</t>
  </si>
  <si>
    <t>CUMPLIMIENTO, CALIDAD DEL BIEN Y SERVICIO, SALARIO Y RESPONSABILIDAD CIVIL</t>
  </si>
  <si>
    <t>4300001249</t>
  </si>
  <si>
    <t>20186010020500085E</t>
  </si>
  <si>
    <t>001-082-18</t>
  </si>
  <si>
    <t>002-136-2018</t>
  </si>
  <si>
    <t>TERMEC LTDA</t>
  </si>
  <si>
    <t>CONTRATAR EL SERVICIO DE MANTENIMIENTO PREVENTIVO Y CORRECTIVO A TODO COSTO PARA MÁQUINAS Y EQUIPOS DE LA PLANTA DE PANADERÍA DE LA ALFM -DIRECCIÓN PRODUCCIÓN</t>
  </si>
  <si>
    <t>CMTO. 36-44-101041783   RE. 36-40-101015539</t>
  </si>
  <si>
    <t>20%30%40%5% 200SMLMV</t>
  </si>
  <si>
    <t>CMTO. $ 2.033.000 / RE. $ 156.248.400</t>
  </si>
  <si>
    <t>4300001458 5200000044</t>
  </si>
  <si>
    <t>001-083-18</t>
  </si>
  <si>
    <t>002-130-2018</t>
  </si>
  <si>
    <t>CONTRATAR LOS SERVICIOS PARA EL MANEJO INTEGRADO DE PLAGAS, LIMPIEZA Y DESINFECCIÓN DE TANQUES DE ALMACENAMIENTO DE AGUA POTABLE Y ANÁLISIS MICROBIOLÓGICO Y FÍSICO-QUÍMICO DEL AGUA POSTERIOR A LA LIMPIEZA DE LOS TANQUES, EN LA AGENCIA LOGÍSTICA DE LAS FUERZAS MILITARES</t>
  </si>
  <si>
    <t>CMTO. 37-44-101030106        RE. 37-40-101015-770</t>
  </si>
  <si>
    <t>CMTO. $ 6.925.500 / RE. $ 156.248.400</t>
  </si>
  <si>
    <t>4300001265</t>
  </si>
  <si>
    <t>PENDIENTE</t>
  </si>
  <si>
    <t>001-084-18</t>
  </si>
  <si>
    <t>002-110-2018</t>
  </si>
  <si>
    <t xml:space="preserve">YOKO NARA </t>
  </si>
  <si>
    <t>PRACO DIDACOL S.A.S</t>
  </si>
  <si>
    <t>ADQUISICIÓN DE (3) CAMIONES PARA TRANSPORTE DE ALIMENTOS REFRIGERADOS PARA LA ALFM</t>
  </si>
  <si>
    <t>CARLOS CAMACHO</t>
  </si>
  <si>
    <t>18-44-101056690</t>
  </si>
  <si>
    <t>CUMPLIMIENTO, CALIDAD DEL BIEN Y PAGO DE SALARIOS</t>
  </si>
  <si>
    <t>4200002996</t>
  </si>
  <si>
    <t>Pendiente liquidar</t>
  </si>
  <si>
    <t>20186010020500090E</t>
  </si>
  <si>
    <t>001-085-18</t>
  </si>
  <si>
    <t>002-165-2018</t>
  </si>
  <si>
    <t>PUBLICACIONES SEMANA</t>
  </si>
  <si>
    <t>PRESTAR SERVICIOS DE LA PUBLICACIÓN</t>
  </si>
  <si>
    <t>MIGUEL AREVALO</t>
  </si>
  <si>
    <t>2145465-1</t>
  </si>
  <si>
    <t>4300001276</t>
  </si>
  <si>
    <t>liquidado</t>
  </si>
  <si>
    <t>20186010020500016E</t>
  </si>
  <si>
    <t>001-086-18</t>
  </si>
  <si>
    <t>002-160-2018</t>
  </si>
  <si>
    <t>IMAGEN JJR PUBLICIDAD SAS</t>
  </si>
  <si>
    <t>ADQUISICIÓN DE LOS DIFERENTES DISTINTIVOS COMO SON PLACAS, MEDALLAS, BOTONES DE TIEMPO DE SERVICIO PARA LOS FUNCIONARIOS DE LA AGENCIA LOGÍSTICA DE LAS FUERZAS MILITARES”.</t>
  </si>
  <si>
    <t>STO. HUMBERTO MAYORGA</t>
  </si>
  <si>
    <t>CMTO. 33-43-101010918</t>
  </si>
  <si>
    <t xml:space="preserve">20%50%5% </t>
  </si>
  <si>
    <t>CMTO. $ 4.596.855</t>
  </si>
  <si>
    <t>001-087-18</t>
  </si>
  <si>
    <t>002-151-2018</t>
  </si>
  <si>
    <t>CONTRATISTA CONSULTORIA CAR &amp;CIA</t>
  </si>
  <si>
    <t>900.584.442-2</t>
  </si>
  <si>
    <t>SUMINISTRO DE MATERIALES NECESARIOS PARA LA PAVIMENTACIÓN DE 429 METROS DE VIAS DEL BAEEV NO. 9 UBICADO EN PUERTO CAICEDO PUTUMAYO</t>
  </si>
  <si>
    <t>5211798( 13-075)</t>
  </si>
  <si>
    <t>GU077691
RE002014</t>
  </si>
  <si>
    <t>CUMPLIMIENTO,CALIDAD DEL BIEN, PAGO DE SALARIOS Y RESPONSABILIDAD CIVIL</t>
  </si>
  <si>
    <t>4400000351</t>
  </si>
  <si>
    <t>esperando informe de pago para liquidar</t>
  </si>
  <si>
    <t>20186010020500089E</t>
  </si>
  <si>
    <t>001-088-18</t>
  </si>
  <si>
    <t>002-153-2018</t>
  </si>
  <si>
    <t>PACKAGING SYSTEMS COLOMBIA SAS</t>
  </si>
  <si>
    <t>SERVICIO DE MANTENIMIENTO PREVENTIVO Y CORRECTIVO A TODO COSTO PARA MÁQUINAS EMPACADORAS Y USO FINAL EN LOS PROCESOS DE PRODUCCIÓN EN CAFÉ, PANADERÍA Y RACIONES DE CAMPAÑA DE LA AGENCIA LOGÍSTICA DE LAS FUERZAS MILITARES – DIRECCIÓN DE PRODUCCIÓN</t>
  </si>
  <si>
    <t>CMTO. 21-44-101277632 RE. 21-40-101124592</t>
  </si>
  <si>
    <t>CMTO. $ 7.623.378</t>
  </si>
  <si>
    <t>001-089-18</t>
  </si>
  <si>
    <t>002-158-2018</t>
  </si>
  <si>
    <t>DRYCOL S.A.</t>
  </si>
  <si>
    <t>ADQUIRIR COMIDAS LISTAS, PANADERÍA LARGA VIDA, ENERGÉTICOS, EMPAQUES Y OTROS PRODUCTOS O MATERIAS PRIMAS DESTINADAS AL ENSAMBLE DE RACIONES DE CAMPAÑA EN LA ALFM LOTE 1</t>
  </si>
  <si>
    <t xml:space="preserve">NB-100092663 / NB-100015641 </t>
  </si>
  <si>
    <t>52000000045</t>
  </si>
  <si>
    <t>CUMPLIDO - EN PROCESO DE LIQUDACIÓN</t>
  </si>
  <si>
    <t>20186030020500054E</t>
  </si>
  <si>
    <t>001-090-18</t>
  </si>
  <si>
    <t>COMERCIALIZA LTDA</t>
  </si>
  <si>
    <t>ADQUIRIR COMIDAS LISTAS, PANADERÍA LARGA VIDA, ENERGÉTICOS, EMPAQUES Y OTROS PRODUCTOS O MATERIAS PRIMAS DESTINADAS AL ENSAMBLE DE RACIONES DE CAMPAÑA EN LA ALFM LOTE 21 Y 35</t>
  </si>
  <si>
    <t xml:space="preserve">21-44-101277027 / 21-40-101124205 </t>
  </si>
  <si>
    <t>5200000058</t>
  </si>
  <si>
    <t>20186030020500060E</t>
  </si>
  <si>
    <t>001-091-18</t>
  </si>
  <si>
    <t>MISAEL HERNANDEZ OSORIO</t>
  </si>
  <si>
    <t>ADQUIRIR COMIDAS LISTAS, PANADERIA LARGA VIDA, ENERGÉTICOS, EMPAQUES Y OTROS PRODUCTOS O MATERIAS PRIMAS DESTINADAS AL ENSAMBLE DE RACIONES DE CAMPAÑA EN LA ALFM LOTE 27</t>
  </si>
  <si>
    <t>37-44-101030106 / 21-40-10124294</t>
  </si>
  <si>
    <t>52000000062</t>
  </si>
  <si>
    <t>20186030020500057E</t>
  </si>
  <si>
    <t>001-092-18</t>
  </si>
  <si>
    <t>JEM SUPLPLIES</t>
  </si>
  <si>
    <t>ADQUIRIR COMIDAS LISTAS, PANADERIA LARGA VIDA, ENERGÉTICOS, EMPAQUES Y OTROS PRODUCTOS O MATERIAS PRIMAS DESTINADAS AL ENSAMBLE DE RACIONES DE CAMPAÑA EN LA ALFM LOTE 30 Y 31</t>
  </si>
  <si>
    <t xml:space="preserve">15-44-101199431 / 15-40-101052950 </t>
  </si>
  <si>
    <t>52000000050</t>
  </si>
  <si>
    <t>20186030020500061E</t>
  </si>
  <si>
    <t>001-093-18</t>
  </si>
  <si>
    <t>MOUNTAIN FOOD S.A.S</t>
  </si>
  <si>
    <t>ADQUIRIR COMIDAS LISTAS, PANADERIA LARGA VIDA, ENERGÉTICOS, EMPAQUES Y OTROS PRODUCTOS O MATERIAS PRIMAS DESTINADAS AL ENSAMBLE DE RACIONES DE CAMPAÑA EN LA ALFM</t>
  </si>
  <si>
    <t>15-44-101199376 15-40-101052912</t>
  </si>
  <si>
    <t>52000000046</t>
  </si>
  <si>
    <t>20186030020500062E</t>
  </si>
  <si>
    <t>001-094-18</t>
  </si>
  <si>
    <t>LA HUERTA DEL ORIENTE</t>
  </si>
  <si>
    <t>ADQUIRIR COMIDAS LISTAS, PANADERIA LARGA VIDA, ENERGÉTICOS, EMPAQUES Y OTROS PRODUCTOS O MATERIAS PRIMAS DESTINADAS AL ENSAMBLE DE RACIONES DE CAMPAÑA EN LA ALFM LOTE 2 Y 11</t>
  </si>
  <si>
    <t xml:space="preserve">SEGUREXPO DE COLOMBIA                                  CHUBB SEGUROS </t>
  </si>
  <si>
    <t>108425 / 33724</t>
  </si>
  <si>
    <t>20186030020500063E</t>
  </si>
  <si>
    <t>001-095-18</t>
  </si>
  <si>
    <t>002-150-18</t>
  </si>
  <si>
    <t>CONSORCIO ESTUDIO SISMICO</t>
  </si>
  <si>
    <t>CONSULTORÍA PARA EL ESTUDIO DE VULNERABILIDAD SISMICA Y ESTUDIO DE REFORZAMIENTO DE LAS NUEVAS INSTALACIONES DEL PUESTO FLUVIAL AVANZADO DE INFANTERÍA DE MARINA No. 31 CON SEDE EN BARRANCABERMEJA EN EL DEPARTAMENTO DE SANTANDER</t>
  </si>
  <si>
    <t>5211516-(12060)</t>
  </si>
  <si>
    <t>ARC</t>
  </si>
  <si>
    <t>14-44-101101431 / 14-40-101026099/</t>
  </si>
  <si>
    <t>4300001613</t>
  </si>
  <si>
    <t>CUMPLIDO LISTO PARA LIQUIDAR</t>
  </si>
  <si>
    <t>20186030020500069E</t>
  </si>
  <si>
    <t>001-096-18</t>
  </si>
  <si>
    <t>002-156-2018</t>
  </si>
  <si>
    <t>MITSUBISHI ELECTRIC DE COLOMBIA LTDA</t>
  </si>
  <si>
    <t>PRESTAR EL SERVICIO DE MANTENIMIENTO PREVENTIVO Y CORRECTIVO CON REPUESTOS PARA DOS (2) ASCENSORES DE LA OFICINA PRINCIPAL DE LA AGENCIA LOGÍSTICA DE LAS FUERZAS MILITARES</t>
  </si>
  <si>
    <t>1505002068901
1505-1163433-01</t>
  </si>
  <si>
    <t>CUMPLIMIENTO, CALIDAD, SALARIO Y RESPONSABILIDAD CIVIL</t>
  </si>
  <si>
    <t>en espera que el supervisor tramite el pago del saldo</t>
  </si>
  <si>
    <t>20186010020500086E</t>
  </si>
  <si>
    <t>001-097-18</t>
  </si>
  <si>
    <t>002-162-2018</t>
  </si>
  <si>
    <t>Corporacion Lonja Nacional de Propiedad Raiz</t>
  </si>
  <si>
    <t>PRESTACIÓN DE SERVICIOS PARA LA ELABORACIÓN DE LOS AVALUOS COMERCIALES DE LOS VEHICULOS Y BIENES DADOS DE BAJA DE LA AGENCIA LOGÍSTICA DE LAS FUERZAS MILITARES</t>
  </si>
  <si>
    <t>12-44-101171351</t>
  </si>
  <si>
    <t>4300001415</t>
  </si>
  <si>
    <t>20186030020500065E</t>
  </si>
  <si>
    <t>001-098-18</t>
  </si>
  <si>
    <t>002-139-2018</t>
  </si>
  <si>
    <t>SOLUCIONES Y DIAGNÓSTICOS EN INGENIERÍA ELÉCTRICA LTDA</t>
  </si>
  <si>
    <t>MANTENIMIENTO PREVENTIVO Y CORRECTIVO PARA LAS SUBESTACIONES Y TABLEROS ELÉCTRICOS DE LA OFICINA PRINCIPAL DE LA AGENCIA LOGISTICA DE LAS FUERZAS MILITARES</t>
  </si>
  <si>
    <t>CMTO. 36-44-101041906 RE. 36-40-101015625</t>
  </si>
  <si>
    <t>20%30%5% 200SMLMV</t>
  </si>
  <si>
    <t>CMTO. $ 9.894.469 / RE. $ 156.248.400</t>
  </si>
  <si>
    <t>5200000052</t>
  </si>
  <si>
    <t>001-099-18</t>
  </si>
  <si>
    <t>002-140-2018</t>
  </si>
  <si>
    <t>ARQUITECTURA &amp; ELECTROMANTENIMIENTOS SAS</t>
  </si>
  <si>
    <t>MANTENIMIENTO PREVENTIVO Y CORRECTIVOS CON REPUESTOS PARA EQUIPOS DE BOMBAS HIDRAULICAS (BOMBA CONTRA INCENDIOS-BOMBAS EYECTORAS-BOMBAS DE PRESION DE AGUA Y SISTEMA CONTRA ICENDIOS DEL DATA CENTER, INCLUYENDO EL MANTENIMIENTO DE LOS TANQUES DE ALMACENAMIENTO DE AGUA POTABLE/ LLUVIAS PARA LA SEDE PRINCIPAL DE LA ALFM</t>
  </si>
  <si>
    <t>CMTO. 2161837-5 RE. 0576829-0</t>
  </si>
  <si>
    <t>20%50%5% 200SMLMV</t>
  </si>
  <si>
    <t>CMTO. $ 10.710.000 / RE. $ 156.248.400</t>
  </si>
  <si>
    <t>520000055</t>
  </si>
  <si>
    <t>001-100-18</t>
  </si>
  <si>
    <t xml:space="preserve">PLASTIPACK </t>
  </si>
  <si>
    <t>ADQUIRIR COMIDAS LISTAS, PANADERIA LARGA VIDA, ENERGÉTICOS, EMPAQUES, Y OTROS PRODUCTOS</t>
  </si>
  <si>
    <t>5200000059</t>
  </si>
  <si>
    <t>20186030020500064E</t>
  </si>
  <si>
    <t>001-101-18</t>
  </si>
  <si>
    <t>002-152-2018</t>
  </si>
  <si>
    <t>JAKO IMPORTACIONES</t>
  </si>
  <si>
    <t xml:space="preserve">
830.038.886</t>
  </si>
  <si>
    <t>ADQUISICIÓN DE LLANTAS CONVENIO 47-820</t>
  </si>
  <si>
    <t>47820 ( 17-015)</t>
  </si>
  <si>
    <t>ISAGEN</t>
  </si>
  <si>
    <t>SANDRA YURANI CHACON</t>
  </si>
  <si>
    <t>2163994-2
0577324-8</t>
  </si>
  <si>
    <t>44000000357</t>
  </si>
  <si>
    <t>se realizo reintegro, para liquidar</t>
  </si>
  <si>
    <t>20186010020500094E</t>
  </si>
  <si>
    <t>001-10218</t>
  </si>
  <si>
    <t>AUTOS MONGUI</t>
  </si>
  <si>
    <t>875-47-994000007828
875-74-994000007696</t>
  </si>
  <si>
    <t>4400000358</t>
  </si>
  <si>
    <t>Se realizo mediante acta No.124 el reintegro de 108,000
Pendinete realizar acta de liquidacion para que paguen</t>
  </si>
  <si>
    <t>20186010020500095E</t>
  </si>
  <si>
    <t>001-103-18</t>
  </si>
  <si>
    <t>MACROPARTES</t>
  </si>
  <si>
    <t>LIBERTY SEGUROS</t>
  </si>
  <si>
    <t>2945842
686650</t>
  </si>
  <si>
    <t>para liquidar</t>
  </si>
  <si>
    <t>20186010020500096E</t>
  </si>
  <si>
    <t>001-104-18</t>
  </si>
  <si>
    <t>SAGU S.A.S</t>
  </si>
  <si>
    <t>ENTREGADO AL ARCHIVO 19-11-2019</t>
  </si>
  <si>
    <t>11-40-101028903
11-44-101125688</t>
  </si>
  <si>
    <t>4400000355</t>
  </si>
  <si>
    <t>20186010020500097E</t>
  </si>
  <si>
    <t>001-105-18</t>
  </si>
  <si>
    <t>002-176-2018</t>
  </si>
  <si>
    <t>IBEROAMERICANA DE ALIMENTOS Y SERVICIOS SAS</t>
  </si>
  <si>
    <t>ADQUIRIR ARROZ CON POLLO y ARVEJA CON CARNE, DESTINADOS AL ENSAMBLE DE RACIONES DE CAMPAÑA EN LA AGENCIA LOGISTICA DE LAS FUERZAS MILITARES</t>
  </si>
  <si>
    <t>45-44-101095934 / 45-40-101047513</t>
  </si>
  <si>
    <t>52000000049</t>
  </si>
  <si>
    <t>20186030020500056E</t>
  </si>
  <si>
    <t>001-106-18</t>
  </si>
  <si>
    <t>002-177-2018</t>
  </si>
  <si>
    <t>LA RECETTA SOLUCIONES GASTRONOMICAS INTEGRADAS S.A.S.</t>
  </si>
  <si>
    <t>ADQUIRIR PRODUCTOS ENERGÉTICOS Y BEBIDAS EN POLVO O GRANULADA DESTINADOS AL ENSAMBLE DE RACIONES DE CAMPAÑA EN LA AGENCIA LOGÍSTICA DE LAS FUERZAS MILITARES.</t>
  </si>
  <si>
    <t>2168109-3 / 0578450-2</t>
  </si>
  <si>
    <t>5200000065</t>
  </si>
  <si>
    <t>20186030020500058E</t>
  </si>
  <si>
    <t>001-107-18</t>
  </si>
  <si>
    <t>002-178-2018</t>
  </si>
  <si>
    <t>SICARTON LIMITADA</t>
  </si>
  <si>
    <t>ADQUIRIR CAJAS PARA EMPAQUE GRANDES DESTINADAS AL ENSAMBLE DE RACIONES DE CAMPAÑA EN LA AGENCIA LOGISTICA DE LAS FUERZAS MILITARES</t>
  </si>
  <si>
    <t>15-44-101199949 / 1540-101053167</t>
  </si>
  <si>
    <t>5200000051</t>
  </si>
  <si>
    <t>20186030020500055E</t>
  </si>
  <si>
    <t>001-108-18</t>
  </si>
  <si>
    <t>15-44-101199944 / 15-40-101053159</t>
  </si>
  <si>
    <t>5200000066</t>
  </si>
  <si>
    <t>20186030020500059E</t>
  </si>
  <si>
    <t>001-109-18</t>
  </si>
  <si>
    <t>002-157-2018</t>
  </si>
  <si>
    <t>PRESTACION SERVICIOS</t>
  </si>
  <si>
    <t>CARLOS GRANDA</t>
  </si>
  <si>
    <t xml:space="preserve">
1075272235</t>
  </si>
  <si>
    <t>CONTRATAR LOS SERVICIOS DE UN MECANICO</t>
  </si>
  <si>
    <t>079-2017</t>
  </si>
  <si>
    <t>ARMANDA NACIONAL</t>
  </si>
  <si>
    <t>GU030905</t>
  </si>
  <si>
    <t>4400000354</t>
  </si>
  <si>
    <t>El contratoista no ha enviado el acta de liquidacion firmada</t>
  </si>
  <si>
    <t>20186010020500082E</t>
  </si>
  <si>
    <t>001-110-18</t>
  </si>
  <si>
    <t>002-171-2018</t>
  </si>
  <si>
    <t>TRADING WORLD ELITE SAS</t>
  </si>
  <si>
    <t>ADQUIRIR BOCADILLO DESTINADOS AL ENSAMBLE DE RACIONES DE CAMPAÑA EN LA AGENCIA LOGISTICA DE LAS FUERZAS MILITARES</t>
  </si>
  <si>
    <t>010/2017 MDN-ARC-PONAL</t>
  </si>
  <si>
    <t>MINISTERIO DE DEFENSA</t>
  </si>
  <si>
    <t>CMTO. 15-44-101200607 RE. 21-44-101278016</t>
  </si>
  <si>
    <t>CMTO. $ 3.300.000 / RE. $ 156.248.400</t>
  </si>
  <si>
    <t>001-111-18</t>
  </si>
  <si>
    <t>002-172-2018</t>
  </si>
  <si>
    <t>ADQUIRIR TRUCHA CON ARROZ DESTINADO AL ENSAMBLE DE RACIONES DE CAMPAÑA EN LA AGENCIA LOGISTICA DE LAS FUERZAS MILITARES</t>
  </si>
  <si>
    <t>CMTO. 45-4-101095944 RE. 45-40-101047521</t>
  </si>
  <si>
    <t>CMTO. $ 20.329.056 / RE. $ 156.248.400</t>
  </si>
  <si>
    <t>001-112-18</t>
  </si>
  <si>
    <t>002-173-2018</t>
  </si>
  <si>
    <t>LA HUERTA DE ORIENTE SAS</t>
  </si>
  <si>
    <t>ADQUIRIR ENVUELTO DE MAZORCA DESTINADO AL ENSAMBLE DE RACIONES DE CAMPAÑA EN LA AGENCIA LOGÍSTICA DE LAS FUERZAS MILITARES</t>
  </si>
  <si>
    <t>SEGUREPO BANCOLDEX - CHUBB</t>
  </si>
  <si>
    <t>CMTO. 4118006847 RE. 33724</t>
  </si>
  <si>
    <t>CMTO. $ 47.148.750 / RE. $ 156.248.400</t>
  </si>
  <si>
    <t>ADICIÓN 001-112-18</t>
  </si>
  <si>
    <t>SEGUREPO BANCOLDEX</t>
  </si>
  <si>
    <t xml:space="preserve">CMTO. 4118007187 </t>
  </si>
  <si>
    <t xml:space="preserve">CMTO. $ 56.784.240 </t>
  </si>
  <si>
    <t>001-113-18</t>
  </si>
  <si>
    <t>002-170-2018</t>
  </si>
  <si>
    <t xml:space="preserve">
830.131.226</t>
  </si>
  <si>
    <t>ADQUIRIR LECHONA TOLIMENSE Y SALCHICHA DESTINADO AL ENSAMBLE DE RACIONES DE CAMPAÑA EN LA AGENCIA LOGISTICA DE LAS FUERZAS MILITARES</t>
  </si>
  <si>
    <t>010-2017</t>
  </si>
  <si>
    <t>45-44-101095942
45-40-101047519</t>
  </si>
  <si>
    <t>CUMPLIMIENTO, CALIDAD, PAGO DE SALARIO Y RESPONSABILIDAD CIVIL</t>
  </si>
  <si>
    <t>52000000047</t>
  </si>
  <si>
    <t>PAGADO. EN TRAMITE DE LIQUIDACION</t>
  </si>
  <si>
    <t>20186010020500088E</t>
  </si>
  <si>
    <t>001-114-18</t>
  </si>
  <si>
    <t>002-174-2018</t>
  </si>
  <si>
    <t>ADQUIRIR PRODUCTOS DE PANADERIA DESTINADOS AL ENSAMBLE DE RACIONES DE CAMPAÑA EN LA AGENCIA LOGISTICA DE LAS FUERZAS MILITARES</t>
  </si>
  <si>
    <t>45-44-101095936
4540-101047516</t>
  </si>
  <si>
    <t>5200000057</t>
  </si>
  <si>
    <t>PAGADO. EN TRAMITE DE LIQUIDACION
Acta de reintegro 119 por valor de 2 pesos</t>
  </si>
  <si>
    <t>20186010020500099E</t>
  </si>
  <si>
    <t>001-115-18</t>
  </si>
  <si>
    <t>ADQUIRIR PRODUCTOS DE PANADERÍA DESTINADOS AL ENSAMBLE DE RACIONES DE CAMPAÑA EN LA AGENCIA LOGISTICA DE LAS FUERZAS MILITARES</t>
  </si>
  <si>
    <t>ENTREGA EN ARCHIVO</t>
  </si>
  <si>
    <t>SEGUREXPO DE COLOMBIA 
CHUBB SEGUROS COLOMBIA SA</t>
  </si>
  <si>
    <t>108697
33718</t>
  </si>
  <si>
    <t>20186010020500092E</t>
  </si>
  <si>
    <t>001-116-18</t>
  </si>
  <si>
    <t>002-175-2018</t>
  </si>
  <si>
    <t>Compraventa</t>
  </si>
  <si>
    <t>NIT
830131226-0</t>
  </si>
  <si>
    <t>ADQUIRIR ATÚN CON VERDURA DESTINADO AL ENSAMBLE DE RACIONES DE CAMPAÑA EN LA AGENCIA LOGÍSTICA DE LAS FUERZAS MILITARES</t>
  </si>
  <si>
    <t>45-44-101095935
45-40-101047514</t>
  </si>
  <si>
    <t>5000000048</t>
  </si>
  <si>
    <t>20186010020500087E</t>
  </si>
  <si>
    <t>001-117-18</t>
  </si>
  <si>
    <t>002-168-2018</t>
  </si>
  <si>
    <t>TECNOINGENIERIA LTDA</t>
  </si>
  <si>
    <t>860.051.814-7</t>
  </si>
  <si>
    <t>PRESTACIÓN DEL SERVICIO DE MANTENIMIENTO PREVENTIVO Y CORRECTIVO INCLUYENDO COMPONENTES PARA LAS QUINCE (15) DUPLICADORES DE LA OFICINA PRINCIPAL DE LA AGENCIA LOGISTICA DE LAS FUERZAS MILITARES</t>
  </si>
  <si>
    <t>CMTO. 15-44-101200607 RE. 15-40-101053481</t>
  </si>
  <si>
    <t>10%40%5% 200SMLMV</t>
  </si>
  <si>
    <t>001-118-18</t>
  </si>
  <si>
    <t>002-129-2018</t>
  </si>
  <si>
    <t>INGENIERIA Y CONSULTORIA GLOBAL LTDA</t>
  </si>
  <si>
    <t>900.140.436-2</t>
  </si>
  <si>
    <t>CONTRATAR EL SERVICIO DE MEDICIÓN DE EMISIONES ATMOSFERICAS EN LA PLANTA PROCESADORA DE CAFÉ Y LA PLANTA DE PANADERIA EN LA DIRECCIÓN DE PRODUCCIÓN DE LA ALFM</t>
  </si>
  <si>
    <t>DIANA CORREAL / LUIS CHAVARRO</t>
  </si>
  <si>
    <t>52.453.006 / 1.016.033.421</t>
  </si>
  <si>
    <t>CMTO. 12-44-101171764 RE. 12-40-101038101</t>
  </si>
  <si>
    <t>CMTO. $ 15.034.500 / RE. $ 156.248.400</t>
  </si>
  <si>
    <t>001-119-18</t>
  </si>
  <si>
    <t>002-164-2018</t>
  </si>
  <si>
    <t>CIRCULO SUBOFICIALES DE LAS FUERZAS MILITARES</t>
  </si>
  <si>
    <t>860025195-6</t>
  </si>
  <si>
    <t>CONNTRATAR LA PRESTACION DE SERVICIOS DE ZONAS VERDES, ZONAS HÚMEDAS, CENTROS VACACIONALES, SERVICIO LOGISTICO DE EVENTOS, REFRIGERIOS QUE SE REQUIERAN PARA EL DESARROLLO DE DIFERENTES ACTIVIDADES PROGRAMADAS EN EL PLAN DE BIENESTAR Y REUNIONES DE TIPO ADMINISTRATIVO DE LA ALFM</t>
  </si>
  <si>
    <t>EXPEDIENTE PRESTADO A LUISA VARGAS -04-04-19</t>
  </si>
  <si>
    <t>ANDREA ACERO</t>
  </si>
  <si>
    <t>4300001614                      ADICION 4300002444</t>
  </si>
  <si>
    <t>001-120-18</t>
  </si>
  <si>
    <t>002-186-2018</t>
  </si>
  <si>
    <t>CAPACITACION ESCUELA</t>
  </si>
  <si>
    <t>8001311180-1</t>
  </si>
  <si>
    <t>CONTRATAR LOS SERVICIOS DE CAPACITACIÓN EN LOS TEMAS PROPIOS DE CAMPO DE LA LOGÍSTICA REFERENTE A ABASTECIMIENTO, ADMINISTRACIÓN, PRODUCCIÓN, MANIPULACIÓN Y CUIDADO DE PRODUCTOS INCLUIDOS EN EL PLAN INSTITUCIONAL DE CAPACITACIÓN PIC VIGENCIA 2018 DE LA ALFM</t>
  </si>
  <si>
    <t>SE ENTREGO LA LIQUIDACION A LUZ PATRICIA -27-11-19</t>
  </si>
  <si>
    <t>001-121-18</t>
  </si>
  <si>
    <t>002-189-2018</t>
  </si>
  <si>
    <t>DEFENSA CIVIL COLOMBIANA</t>
  </si>
  <si>
    <t>899.999.717-1</t>
  </si>
  <si>
    <t>PRESTAR A LA AGENCIA LOGISTICA DE LAS FUERZAS MILITARES, LOS SERVICIOS DE CAPACITACIÓN EN BRUGADAS DE EMERGENCIA BÁSICA, INTERMEDIA, SOPORTE BÁSICO DE VIDA Y COMANDO DE INCIDENTES "PARA LA EJECUCIÓN DEL PLAN INSTITUCIONAL DE CAPACITACION PIC 2018”</t>
  </si>
  <si>
    <t>001-122-18</t>
  </si>
  <si>
    <t>002-188-2018</t>
  </si>
  <si>
    <t>COOVIAM C.T.A.</t>
  </si>
  <si>
    <t>804.000.353-1</t>
  </si>
  <si>
    <t>PRESTAR EL SERVICIO DE VIGILANCIA Y SEGURIDAD PRIVADA EN EL CENTRO DE REHABILITACIÓN FUNCIONAL BATALLÓN DE SANIDAD CRF-BASAN UBICADO EN LA CIUDAD DE BOGOTA</t>
  </si>
  <si>
    <t>1441-13</t>
  </si>
  <si>
    <t>SOLIDARIA</t>
  </si>
  <si>
    <t>330-47-994000016773
330-74-9940000004069</t>
  </si>
  <si>
    <t>El supervisor el 10-12-2018 pasó tramite de pago por el 66% de la ejecucion</t>
  </si>
  <si>
    <t>20186010020500093E</t>
  </si>
  <si>
    <t>001-123-18</t>
  </si>
  <si>
    <t>002-131-2018</t>
  </si>
  <si>
    <t>PRODECO COLOMBIA S.A.S</t>
  </si>
  <si>
    <t xml:space="preserve">
900.488.011-0</t>
  </si>
  <si>
    <t>ADQUIRIR PRODUCTOS DE LIMPIEZA Y DESINFECCIÓN PARA LA DIRECCIÓN DE PRODUCCIÓN DE LA ALFM</t>
  </si>
  <si>
    <t>21-44-101279725
(ANEXO 0 y ANEXO 1)</t>
  </si>
  <si>
    <t>20186010020500091E</t>
  </si>
  <si>
    <t>001-124-18</t>
  </si>
  <si>
    <t>002-184-2018</t>
  </si>
  <si>
    <t>SOLUCIONES INTEGRALES UNIÓN S.A.S.</t>
  </si>
  <si>
    <t>ADQUISICIÓN DE MATERIALES DE CONSTRUCCIÓN PARA EL MANTENIMIENTO DE LAS INSTALACIONES DE LA ARMADA NACIONAL UBICADA EN EL PUESTO FLUVIAL AVANZADO EN PIZARRO CHOCO - LA ARMADA NACIONAL DE COLOMBIA PARA SER ENTREGADOS EN EL PUERTO DE BUENAVENTURA VALLE DEL CAUCA</t>
  </si>
  <si>
    <t>201-17-DIABA</t>
  </si>
  <si>
    <t>GU051603</t>
  </si>
  <si>
    <t>4300001546</t>
  </si>
  <si>
    <t>20186030020500066E</t>
  </si>
  <si>
    <t>001-125-18</t>
  </si>
  <si>
    <t>002-159-2018</t>
  </si>
  <si>
    <t>800.089.040-1</t>
  </si>
  <si>
    <t>SUMINISTRO DE COMBUSTIBLE DE AVIACIÓN</t>
  </si>
  <si>
    <t>CI No.0141-ARC-CBN6-2018</t>
  </si>
  <si>
    <t>EL EXPEDIENTE SE ENTREGA A YOKO SANCHEZ PARA AJUSTAR LA LISTA DE CHEQUEO-11-04-19</t>
  </si>
  <si>
    <t>11-44-101126949
11-40-101029373</t>
  </si>
  <si>
    <t>se realizó aclaratorio No.1 , cambiando el tipo de cuenta del contratista.</t>
  </si>
  <si>
    <t>20186010020500098E</t>
  </si>
  <si>
    <t>001-126-18</t>
  </si>
  <si>
    <t>002-187-2018</t>
  </si>
  <si>
    <t>SGS COLOMBIA S.A.</t>
  </si>
  <si>
    <t>860.049.921-0</t>
  </si>
  <si>
    <t>PRESTAR A LA ALFM LOS SERVICIOS DE CAPACITACIÓN EN FORMACIÓN DE AUDITOR LIDER EN SISTEMAS DE GESTIÓN DE CALIDAD ISO 9001-2015 CON REGISTRO ICA</t>
  </si>
  <si>
    <t>ENTREGADO EN ARCHIVO -04-10-19</t>
  </si>
  <si>
    <t>JMALUCELLI TRAVELERS</t>
  </si>
  <si>
    <t>CALIDAD, CUMPLIMIENTO, PAGO DE SALARIOS</t>
  </si>
  <si>
    <t>20186030020500068E</t>
  </si>
  <si>
    <t>001-127-18</t>
  </si>
  <si>
    <t>002-195-2018</t>
  </si>
  <si>
    <t>MULTIMODAL</t>
  </si>
  <si>
    <t>900202730-0</t>
  </si>
  <si>
    <t>CONTRATAR LA EJECUCIÓN DEL SUB PROYECTO DENOMINADO SERVICIO DE ALIMENTACIÓN ESCOLAR A NNAJ DE ESTABLECIMIENTOS EDUCATIVOS DEL DEPARTAMENTO DEL PUTUMAYO</t>
  </si>
  <si>
    <t>adicion no. 1                001-127-18</t>
  </si>
  <si>
    <t>001-128-18</t>
  </si>
  <si>
    <t>002-180-2018</t>
  </si>
  <si>
    <t>HR SOLUTIONS S.A.S</t>
  </si>
  <si>
    <t>830131674-1</t>
  </si>
  <si>
    <t>ADQUISICIIÓN DE LICENCIAMIENTO SAP PARA LA AGENCIA LOGISTICA DE LAS FUERZAS MILITARES</t>
  </si>
  <si>
    <t xml:space="preserve">ARCHIVO </t>
  </si>
  <si>
    <t>CMTO. GU131519</t>
  </si>
  <si>
    <t>CMTO. $ 297.375.000</t>
  </si>
  <si>
    <t>ADICION 1 001-128-18</t>
  </si>
  <si>
    <t>001-129-18</t>
  </si>
  <si>
    <t>002-132 DE 2018</t>
  </si>
  <si>
    <t>FIDUCIA</t>
  </si>
  <si>
    <t>FIDUAGRARIA S.A.S.</t>
  </si>
  <si>
    <t>CONTRATAR UNA FIDUCIARIA PARA QUE ADMINISTRE E INVIERTA LOS RECURSOS DESTINADOS A LAS OBLIGACIONES PENSIONALES DE LA ALFM A TRAVÉS DE UN PATRIMONIO AUTÓNOMO, CONSTITUIDO POR LOS RECURSOS QUE LA ALFM HA DESTINADO PARA LA GARANTÍA DE DICHAS OBLIGACIONES</t>
  </si>
  <si>
    <t>153818
319219
196120</t>
  </si>
  <si>
    <t>RUTH STELLA CALDERON N./DIANA TRIANA</t>
  </si>
  <si>
    <t>LA EQUIDAD SEGUROS S.A.</t>
  </si>
  <si>
    <t>AA174346</t>
  </si>
  <si>
    <t>EJECUCIÓN</t>
  </si>
  <si>
    <t>20186030020500067E</t>
  </si>
  <si>
    <t>001-130-18</t>
  </si>
  <si>
    <t>002-167-2018</t>
  </si>
  <si>
    <t>CONTRATACIÓN PÓLIZA DE VIDA PARA LOS FUNCIONARIOS DE LA AGENCIA LOGÍSTICA DE LAS FUERZAS MILITARES</t>
  </si>
  <si>
    <t>SE RECIBE TRAMITE DE PAGO  POR VALOR TOTAL  EL DIA 05/12/2018</t>
  </si>
  <si>
    <t>001-131-18</t>
  </si>
  <si>
    <t>002-148-2018</t>
  </si>
  <si>
    <t>LEIDY YOLIMA OCHOA GUIZA</t>
  </si>
  <si>
    <t>55118373-0</t>
  </si>
  <si>
    <t>MANTENIMIENTO EN PREDIO DE LA AGENCIA LOGÍSTICA DE LAS FUERZAS MILITARES EN BOGOTÁ SOBRE TALA Y REFORESTACIÓN</t>
  </si>
  <si>
    <t xml:space="preserve">ENTREGADO ENARCHIVO </t>
  </si>
  <si>
    <t xml:space="preserve">SEGUROS MUNDIAL </t>
  </si>
  <si>
    <t>CMTO. 34123962 RE. 34123963</t>
  </si>
  <si>
    <t>CMTO. $ 34.689.727,50 / RE. $ 156.248.400</t>
  </si>
  <si>
    <t>EL PRESENTE CONTRATO NO CUENTA CON NUMERO DE SAP, TODA VEZ QUE SE ENCUENTRA PENDIENTE EL NUMERO DE SOLICITUD POR PARTE  DE ADMINISTRATIVA</t>
  </si>
  <si>
    <t>001-132-18</t>
  </si>
  <si>
    <t>002-200-2018</t>
  </si>
  <si>
    <t>SUMINIISTRO DE COMBUSTIBLE (GASOLINA Y A.C.P.M) PARA LOS VEHÍCULOS DE LA OFICINA PRINCIPAL Y PLANTA ELÉCTRICA MARCA MODASA DE LA ALFM</t>
  </si>
  <si>
    <t>ADICIÓN 1: 20/12/2018 ($4.000.000)
ADICIÓN 2: 28/12/2018 ($5.000.000)</t>
  </si>
  <si>
    <t>CUMPLIMIENTO, CALIDAD DEL BIEN, PAGO DE SALARIOS</t>
  </si>
  <si>
    <t>001-133-18</t>
  </si>
  <si>
    <t>002-198-2018</t>
  </si>
  <si>
    <t>LENYCHET  TORRET</t>
  </si>
  <si>
    <t xml:space="preserve">ADQUISICION DE EXTRACTORES PARA EL CENTRO DE ALMACENAMIENTO Y DISTRIBUCION DE LA REGIONAL LLANOS ORIENTALES </t>
  </si>
  <si>
    <t>OMAR UBAQUE TORRES</t>
  </si>
  <si>
    <t>CMTO. 400-47-994000059430</t>
  </si>
  <si>
    <t>10%50%5%40%</t>
  </si>
  <si>
    <t>CMTO. $4.095.000</t>
  </si>
  <si>
    <t>001-134-18</t>
  </si>
  <si>
    <t>002-202-2018</t>
  </si>
  <si>
    <t>MOUNTAIN FOOD S.A.S.</t>
  </si>
  <si>
    <t>ADQUIRIR AGUA DE PANELA CON QUESO Y CHOCOLATE CON QUESO DESTINADOS AL ENSAMBLE DE RACIONES DE CAMPAÑA EN LA AGENCIA LOGÍSTICA DE LAS FUERZAS MILITARES. LOTE 2</t>
  </si>
  <si>
    <t>14/18-MDN-EJE</t>
  </si>
  <si>
    <t>15-44-101202628 / 15-40-101054365</t>
  </si>
  <si>
    <t>20186030020500084E</t>
  </si>
  <si>
    <t>001-135-18</t>
  </si>
  <si>
    <t>002-190-2018</t>
  </si>
  <si>
    <t>COMRAVENTA</t>
  </si>
  <si>
    <t>ADQUIRIR COMIDAS LISTAS, PANADERIA LARGA VIDA, ENERGÉTICOS, EMPAQUES Y OTROS PRODUCTOS O MATERIAS PRIMAS DESTINADAS AL ENSAMBLE DE RACIONES DE CAMPAÑA EN LA AGENCIA LOGÍSTICA DE LAS FUERZAS MILITARES. LOTES 19, 22 y 38</t>
  </si>
  <si>
    <t>15-44-101202608 /15-40-101054351</t>
  </si>
  <si>
    <t>75%                                            200SMLMV</t>
  </si>
  <si>
    <t>CUMPLIDO - PDTE RECIBIR TRAMITE DE PAGO PARA PASAR A LIQUIDACIONES</t>
  </si>
  <si>
    <t>20186030020500086E</t>
  </si>
  <si>
    <t>001-136-18</t>
  </si>
  <si>
    <t>002-203-2018</t>
  </si>
  <si>
    <t>ANTARDICO S.A.</t>
  </si>
  <si>
    <t>830.058.415-4</t>
  </si>
  <si>
    <t>ADQUIRIR CIRUELAS PASAS Y FRUTA MIXTA CON MANI DESTINADOS AL ENSAMBLE DE RACIONES DE CAMPAÑA DE LAS AGENCIA LOGISTICAS DE LAS FUERZAS MILITARES</t>
  </si>
  <si>
    <t>014-2018</t>
  </si>
  <si>
    <t>MDN-EJC-ARC</t>
  </si>
  <si>
    <t>CMTO. GU032712 RE. 001091</t>
  </si>
  <si>
    <t>20%50%5%200SMLMV</t>
  </si>
  <si>
    <t>CMTO. $44.521.515,75 RE. $156.248.400</t>
  </si>
  <si>
    <t>001-137-18</t>
  </si>
  <si>
    <t>002-204-2018</t>
  </si>
  <si>
    <t>DIPSA FOOD SAS</t>
  </si>
  <si>
    <t>900.380.814-2</t>
  </si>
  <si>
    <t>ADQUIRIR MANI GRANOLA Y MANI SALADO DESTINADOS LA ENSAMBLE DE RACIONES DE CAMPAÑA EN LA AGENCIA LOGÍSTICA DE LAS FUERZAS MILITARES</t>
  </si>
  <si>
    <t>014/2018 MDN-EJC-ARC</t>
  </si>
  <si>
    <t>SURAMERICANA</t>
  </si>
  <si>
    <t>2211813-4
0589603-1</t>
  </si>
  <si>
    <t>75%
200 SMLMV</t>
  </si>
  <si>
    <t>CUMPLIDO. EN ESPERA DE LOS RESULTADOS DE LABORATORIO PARA REALIZAR TRAMITE DE PAGO. PLAZO: NOVIEMBRE 19</t>
  </si>
  <si>
    <t>20186030020500089E</t>
  </si>
  <si>
    <t>001-138-18</t>
  </si>
  <si>
    <t>JEM SUPPLIES S.A.S</t>
  </si>
  <si>
    <t>ADQUIRIR COMIDAS LISTAS, PANADERIA LARGA VIDA, ENERGÉTICOS, EMPAQUES Y OTROS PRODUCTOS O MATERIAS PRIMAS DESTINADAS AL ENSAMBLE DE RACIONES DE CAMPAÑA EN LA AGENCIA LOGÍSTICA DE LAS FUERZAS MILITARES. LOTES 18 Y 34</t>
  </si>
  <si>
    <t>15-44-101202646                                                                                       15-40-101054372</t>
  </si>
  <si>
    <t>75%                                            200 SMLMV</t>
  </si>
  <si>
    <t>20186030020500087E</t>
  </si>
  <si>
    <t>001-139-18</t>
  </si>
  <si>
    <t>002-205-2018</t>
  </si>
  <si>
    <t>MOUNTAIN FOOD</t>
  </si>
  <si>
    <t xml:space="preserve">ADQUIRIR ALIMENTO FORTIFICADO GRANULADO, BARRA BLANDA RECUBIERTA DE CHOCOLATE (NOUGAT) Y UVAS PASAS CON CHOCOLATE DESTINADOS AL ENSAMBLE DE RACIONES DE CAMPAÑA EN LA AGENCIA LOGISTICA DE LAS FUERZAS MILITARES.- 
LOTE 3: UVAS PASAS </t>
  </si>
  <si>
    <t>014/2018</t>
  </si>
  <si>
    <t>MINISTERIO DE DEFENSA / EJC / ARC</t>
  </si>
  <si>
    <t xml:space="preserve">POLIZA </t>
  </si>
  <si>
    <t xml:space="preserve">15-44-101202634
15-40-101054367 </t>
  </si>
  <si>
    <t>CUMPLIMIENTO, CALIDAD DEL BIEN, PAGO DE SALARIOS - RCE</t>
  </si>
  <si>
    <t>CUANTOS DIAS FUE PRORROGADO?</t>
  </si>
  <si>
    <t>001-140-18</t>
  </si>
  <si>
    <t>UNIÓN TEMPORAL LOGISTICA DE COLOMBIA</t>
  </si>
  <si>
    <t>ADQUIRIR COMIDAS LISTAS, PANADERIA LARGA VIDA, ENERGÉTICOS, EMPAQUES Y OTROS PRODUCTOS O MATERIAS PRIMAS DESTINADAS AL ENSAMBLE DE RACIONES DE CAMPAÑA EN LA AGENCIA LOGÍSTICA DE LAS FUERZAS MILITARES. LOTES 3, 4, 8, 12, 13, 14, 16, 17, 21, 26, 27, 28, 29, 31, 32, 35, 36, 37, 39, 40 Y 41</t>
  </si>
  <si>
    <t>45-44-101097969                                                                                        45-40-101048788</t>
  </si>
  <si>
    <t>20186030020500099E</t>
  </si>
  <si>
    <t>001-141-18</t>
  </si>
  <si>
    <t>PLASTIPACK S.A.</t>
  </si>
  <si>
    <t>ADQUIRIR COMIDAS LISTAS, PANADERIA LARGA VIDA, ENERGÉTICOS, EMPAQUES Y OTROS PRODUCTOS O MATERIAS PRIMAS DESTINADAS AL ENSAMBLE DE RACIONES DE CAMPAÑA EN LA AGENCIA LOGÍSTICA DE LAS FUERZAS MILITARES. LOTE 7</t>
  </si>
  <si>
    <t xml:space="preserve">15-44-101203053                                                                                         15-40-101054554 </t>
  </si>
  <si>
    <t>20186030020500098E</t>
  </si>
  <si>
    <t>001-142-18</t>
  </si>
  <si>
    <t>002-191-2018</t>
  </si>
  <si>
    <t>OBRA</t>
  </si>
  <si>
    <t>CONSTRUTORA LA DIANA LTDA</t>
  </si>
  <si>
    <t>MANTENIMIENTO DE LA INFRAESTRUCTURA FISICA DE LAS BODEGAS No.3, 4 y 37 DE LA DIRECCION DE PRODUCCION DE LA AGENCIA LOGISTICA DE LAS FUERZAS MILITARES, PRECIOS UNITARIOS FIJOS SIN FORMULA DE REAJUSTE</t>
  </si>
  <si>
    <t>MARIA HELENA ARIZA MARTINEZ</t>
  </si>
  <si>
    <t>42-44-101111980 
42-44-101111980</t>
  </si>
  <si>
    <t>En espera que la supervisora tramite el pago</t>
  </si>
  <si>
    <t>20186030020500092E</t>
  </si>
  <si>
    <t>001-143-18</t>
  </si>
  <si>
    <t>002-196-2018</t>
  </si>
  <si>
    <t>SUMINISTROS INSTALACION Y CONSERVACION DE CESPEDON EN CORTES Y RELLENOS PARA LA PROTECCION DE TALUDES SOBRE LA VIA QUE CONECTA EL BFIM24 CON LA VIA PRINCIPAL DE ACCESO AL PUERTO AGUADULCE EN BUENAVENTURA -VALLE DEL CAUCA</t>
  </si>
  <si>
    <t>001-079-2017 CENAC</t>
  </si>
  <si>
    <t>CENAC</t>
  </si>
  <si>
    <t>GU051957- CUMPLIMIENTO 
RE-003294 - RCE</t>
  </si>
  <si>
    <t>001-144-18</t>
  </si>
  <si>
    <t>CONTRATACIÓN DIRECTA SIN OFERTA</t>
  </si>
  <si>
    <t>002-217-2018</t>
  </si>
  <si>
    <t>NUBIA GONZALEZ CERON</t>
  </si>
  <si>
    <t>CONTRATAR UN PROFESIONAL ESPECIALIZADO EN DERECHO LABORAL Y DERECHO PUBLICO, PARA CAPACITAR AL PERSONAL DE LA DIRECCIÓN ADMINISTRATIVA Y TALENTO HUMANO EN LOS TEMAS DE FUNCIÓN PUBLICA EN LA AGENCIA LOGÍSTICA DE LAS FUERZAS MILITARES</t>
  </si>
  <si>
    <t>JAHIR PEREZ POLO</t>
  </si>
  <si>
    <t>33-46-101012130</t>
  </si>
  <si>
    <t>el 10-12-2018 el supervisor paso el primer tramite de pago $8,500,000</t>
  </si>
  <si>
    <t>001-145-18</t>
  </si>
  <si>
    <t>002-212-2018</t>
  </si>
  <si>
    <t>900924856-8</t>
  </si>
  <si>
    <t>ADQUIRIR BOCADILLO DE GUAYABA DESTINADO AL ENSAMBLE DE RACIONES DE CAMPAÑA EN LA AGENCIA LOGISTICA DE LAS FUERZAS MILITARES</t>
  </si>
  <si>
    <t>21-44-101282463
21-40-101127965</t>
  </si>
  <si>
    <t>El 29 de oct de 2018 se hizo entrega sin novedad alguna, en espera del informe de laboratorio para que el contratista allegue facturas</t>
  </si>
  <si>
    <t>20186030020500094E</t>
  </si>
  <si>
    <t>001-146-18</t>
  </si>
  <si>
    <t>002-214-2018</t>
  </si>
  <si>
    <t>ADQUIRIR PANELA DESTINADOS AL ENSAMBLE DE RACIONES DE CAMPAÑA DE LA AGENCIA LOGISTICA DE LAS FUERZAS MILITARES</t>
  </si>
  <si>
    <t>CMTO. 21-44-101282678 Y RE. 21-40-101128125</t>
  </si>
  <si>
    <t>adicion no. 1              001-146-18</t>
  </si>
  <si>
    <t>001-147-18</t>
  </si>
  <si>
    <t>002-211-2018</t>
  </si>
  <si>
    <t>SICARTON LTDA</t>
  </si>
  <si>
    <t>860.530.698-4</t>
  </si>
  <si>
    <t>ADQUIRIR CAJA DE CARTON GRANDE PARA EMPAQUE DESTINADOS AL ENSAMBLE DE RACIONES DE CAMPAÑA DE LAS AGENCIA LOGISTICAS DE LAS FUERZAS MILITARES</t>
  </si>
  <si>
    <t>CMTO. 15-44-101203157 Y RE. 15-40-10-10-54-604</t>
  </si>
  <si>
    <t>001-148-18</t>
  </si>
  <si>
    <t>002-215-2018</t>
  </si>
  <si>
    <t>ANTARDICO SA</t>
  </si>
  <si>
    <t>ADQUIRIR MANI JAPONES DESTINADO AL ENSAMBLE DE RACIONES DE CAMPAÑA EN LA AGENCIA LOGISTICA DE LAS FUERZAS MILITARES</t>
  </si>
  <si>
    <t>COMPAÑÍA ASEGURADORA DE FIANZAS SA “CONFIANZA”</t>
  </si>
  <si>
    <t>RE001099
GU032743</t>
  </si>
  <si>
    <t>el 7 de dic el supervisor paso el tramite de pago</t>
  </si>
  <si>
    <t>20186030020500095E</t>
  </si>
  <si>
    <t>001-149-18</t>
  </si>
  <si>
    <t>002-216-2018</t>
  </si>
  <si>
    <t>PRODUCTOS JOHNNY´S DE COLOMBIA LTDA</t>
  </si>
  <si>
    <t>860.004.076-8</t>
  </si>
  <si>
    <t>ADQUIRIR BARRA RECUBIERTA DE CHOCOLATE DESTINADOS AL ENSAMBLE DE RACIONES DE CAMPAÑA DE LA AGENCIA LOGISTICA DE LAS FUERZAS MILITARES</t>
  </si>
  <si>
    <t>001-150-18</t>
  </si>
  <si>
    <t>DRYCOL S.A.S</t>
  </si>
  <si>
    <t>900.075.225-7</t>
  </si>
  <si>
    <t>ADQUIRIR AGUA DE PANELA CON QUESO DESTINADOS AL ENSAMBLE DE RACIONES DE CAMPAÑA DE LAS AGENCIA LOGISTICAS DE LAS FUERZAS MILITARES</t>
  </si>
  <si>
    <t>CMTO. NB-100096994 Y RE. NB-100016955</t>
  </si>
  <si>
    <t>001-151-18</t>
  </si>
  <si>
    <t>MOUNTAIN FOOD SAS</t>
  </si>
  <si>
    <t>900.086.521-1</t>
  </si>
  <si>
    <t>ADQUIRIR ALIMENTO FORTIFICADO DESTINADOS AL ENSAMBLE DE RACIONES DE CAMPAÑA DE LA AGENCIA LOGISTICA DE LAS FUERZAS MILITARES</t>
  </si>
  <si>
    <t>001-152-18</t>
  </si>
  <si>
    <t>002-208-2018</t>
  </si>
  <si>
    <t>ANDREA AYALA</t>
  </si>
  <si>
    <t>MAFRE SEGUROS GENERALES DE COLOMBIA S.A.</t>
  </si>
  <si>
    <t>891.700.037-9</t>
  </si>
  <si>
    <t>ADQUISICIÓN DE SEGUROS DE AUTOMOVILES PARA LOS NUEVOS VEHICULOS QUE CONFORMAN EL PARQUE AUTOMOTOR DE LA AGENCIA LOGISTICA DE LAS FUERZAS MILITARES</t>
  </si>
  <si>
    <t>Se recibe tramite de pago valor total el dia 05/12/2018</t>
  </si>
  <si>
    <t>001-153-18</t>
  </si>
  <si>
    <t>002-222-2018</t>
  </si>
  <si>
    <t>JEM SUPPLIES SAS</t>
  </si>
  <si>
    <t>900.370.262-4</t>
  </si>
  <si>
    <t>ADQUIRIR PASTILLAS MULTIVITAMINICAS DESTINADAS AL ENSAMBLE DE RACIONES DE CAMPAÑA EN LA AGENCIA LOGISTICA DE LAS FUERZAS MILITARES</t>
  </si>
  <si>
    <t xml:space="preserve">ENTREGADO EN ARCHIVO </t>
  </si>
  <si>
    <t xml:space="preserve">SEGUROS DEL ESTADO SA </t>
  </si>
  <si>
    <t>15-40-101054706 Anexo 0
15-44-101203365 Anexo 0</t>
  </si>
  <si>
    <t>20186030260200002E</t>
  </si>
  <si>
    <t>001-154-18</t>
  </si>
  <si>
    <t>002-219-2018</t>
  </si>
  <si>
    <t>AMBIENTE Y SOLUCIONES S.A.S.</t>
  </si>
  <si>
    <t>CONTRATAR EL TRANSPORTE Y DISPOSICIÓN FINAL DE RESIDUOS PELIGROSOS, ESPECIALES Y/O RECICLABLES GENERADOS EN LA AGENCIA LOGÍSTICA DE LAS FUERZAS MILITARES</t>
  </si>
  <si>
    <t>ALFV</t>
  </si>
  <si>
    <t>ANDRES CAMILO SUAREZ ARIAS</t>
  </si>
  <si>
    <t>ANDRES EDUARDO ORDUZ NIVIA</t>
  </si>
  <si>
    <t>11-44-101128879        11-40-101030068</t>
  </si>
  <si>
    <t>EN EJECUCION NORMAL</t>
  </si>
  <si>
    <t>20186030020500105E</t>
  </si>
  <si>
    <t>001-155-18</t>
  </si>
  <si>
    <t>002-221-2018</t>
  </si>
  <si>
    <t>EDUARDOÑO S.A.S.</t>
  </si>
  <si>
    <t>ADQUISICIÓN DE MOTORES FUERA DE BORDA CON DESTINO AL DEPARTAMENTO DE BUCEO Y SALVAMENTO</t>
  </si>
  <si>
    <t>BUCEO Y SALVAMENTO</t>
  </si>
  <si>
    <t>TE.POSADA</t>
  </si>
  <si>
    <t>TF, STEVEN POSADA CIRO</t>
  </si>
  <si>
    <t>JMALUCELLI TRAVELERS SEGUROS S.A.</t>
  </si>
  <si>
    <t>CUMPLIDO - EN TRAMITE DE PAGO</t>
  </si>
  <si>
    <t>20186030020500103E</t>
  </si>
  <si>
    <t>ADICION NO. 1              001-155-18</t>
  </si>
  <si>
    <t>001-156-18</t>
  </si>
  <si>
    <t>002-210-2018</t>
  </si>
  <si>
    <t>AMERFIN S.A.S.</t>
  </si>
  <si>
    <t>ADQUIRIR LECHE CONDENSADA DESTINADA AL ENSAMBLE DE RACIONES DE CAMPAÑA EN LA AGENCIA LOGISTICA DE LAS FUERZAS MILITARES</t>
  </si>
  <si>
    <t>15-44-101203473       15-40-101054752</t>
  </si>
  <si>
    <t>20186030020600002E</t>
  </si>
  <si>
    <t>001-157-18</t>
  </si>
  <si>
    <t>002-201-2018</t>
  </si>
  <si>
    <t>CONSULTORIA</t>
  </si>
  <si>
    <t xml:space="preserve">YONNY ALBERTO SEPULVEDA SERNA propietario del establecimiento de comercio 
TECHNICAL ADJUSTMENTS JASS
</t>
  </si>
  <si>
    <t>CONTRATAR EL LEVANTAMIENTO, DISEÑO Y EL PRESUPUESTO DE ADECUACIONES NECESARIAS DE LAS INSTALACIONES ELECTRICAS EXISTENTES EN LAS BODEGAS 3, 4 Y 37, DEL PARQUE INDUSTRIAL PORTOS SABANA 80, EN CUMPLIMIENTO A LA NORMATIVIDAD VIGENTE</t>
  </si>
  <si>
    <t xml:space="preserve">SE ENTREGO LA CARPETA ADRIANA </t>
  </si>
  <si>
    <t xml:space="preserve">CAMILO GUAYARA </t>
  </si>
  <si>
    <t>52-44-10-1005742 CUMPLIMIENTO
52-40-101003074 RCE</t>
  </si>
  <si>
    <t>001-158-18</t>
  </si>
  <si>
    <t>001-159-18</t>
  </si>
  <si>
    <t>MIGUEL QUIJANO</t>
  </si>
  <si>
    <t>001-160-18</t>
  </si>
  <si>
    <t>002-224-2018</t>
  </si>
  <si>
    <t>compraventa</t>
  </si>
  <si>
    <t>SION TRADE SAS</t>
  </si>
  <si>
    <t>900.049.404.-9</t>
  </si>
  <si>
    <t>ADQUISICIÓN DE PRENDA INSTITUCIONAL PARA EL PERSONAL DE LA OFICINA PRINCIPAL DE LA AGENCIA LOGÍSTICA DE LAS FUERZAS MILITARES</t>
  </si>
  <si>
    <t>FECHA PREVISTA PARA ENTREGA EL 16-12-2018 (con base en el art. 118 CGP se corre al 17 de diciembre de 2018)</t>
  </si>
  <si>
    <t>20186030260200001E</t>
  </si>
  <si>
    <t>001-161-18</t>
  </si>
  <si>
    <t>002-218-2018</t>
  </si>
  <si>
    <t>GENERACIÓN DE TALENTOS S.A.S</t>
  </si>
  <si>
    <t>PRESTAR A LA AGENCIA LOGISTICA DE LAS FUERZAS MILITARES LOS SERVICIOS DE CAPACITACION EN LA SIGUIENTE TEMATICA COMPRENSIÓN DE LECTURA  RÁPIDA REDACCIÓN Y ORTOGRAFÍA</t>
  </si>
  <si>
    <t>ANDREA</t>
  </si>
  <si>
    <t>001-162-18</t>
  </si>
  <si>
    <t>002-220-2018</t>
  </si>
  <si>
    <t>830.095.213</t>
  </si>
  <si>
    <t>SUMINISTRO DE COMBUSTIBLES MARÍTIMOS Y FLUVIALES. LOTES 3, 4 Y 5</t>
  </si>
  <si>
    <t>0141-ARC</t>
  </si>
  <si>
    <t xml:space="preserve">ELABORADA EN REVISION </t>
  </si>
  <si>
    <t>NB-100098420 / NB-100017378</t>
  </si>
  <si>
    <t>20186030020500114E</t>
  </si>
  <si>
    <t>001-163-18</t>
  </si>
  <si>
    <t>C.I. CARIBBEAN BUNKERS S.A.S.</t>
  </si>
  <si>
    <t>900.328.914</t>
  </si>
  <si>
    <t>SUMINISTRO DE COMBUSTIBLES MARÍTIMOS Y FLUVIALES. LOTE 1</t>
  </si>
  <si>
    <t>YURLEY TATIANA MORENO BOTELLO</t>
  </si>
  <si>
    <t>85-44-101096142         85-40-101039548</t>
  </si>
  <si>
    <t>95%                 300 SMMLV</t>
  </si>
  <si>
    <t>EN EJECUCION</t>
  </si>
  <si>
    <t>20186030000000001E</t>
  </si>
  <si>
    <t>001-164-18</t>
  </si>
  <si>
    <t>C.I. FUEL SERVICES S.A.</t>
  </si>
  <si>
    <t>900.108.074</t>
  </si>
  <si>
    <t>SUMINISTRO DE COMBUSTIBLES MARÍTIMOS Y FLUVIALES. LOTES 6, 7, 8 Y 9</t>
  </si>
  <si>
    <t>ARV</t>
  </si>
  <si>
    <t>41-44-101208429        41-40-101034007</t>
  </si>
  <si>
    <t>20186030020500109E</t>
  </si>
  <si>
    <t>001-165-18</t>
  </si>
  <si>
    <t>CONTRATACION DIRECTA</t>
  </si>
  <si>
    <t>002-228-2018</t>
  </si>
  <si>
    <t>PRESTACIONES DE SERVICIOS</t>
  </si>
  <si>
    <t>JOSE JOAQUIN SANABRIA FONSECA</t>
  </si>
  <si>
    <t>9.089.402</t>
  </si>
  <si>
    <t>PRESTAR CON PLENA AUTONOMIA TECNICA Y ADMINISTRATIVA EL SERVICIO DE CAPACITACION EN PLANEACION ESTRATEGICA A LOS DIRECTORES NACIONALES Y REGIONALES DE LA ALFM CONFORME A LOS LINEAMIENTOS DEL PLAN NACIONAL DE DESARROLLO</t>
  </si>
  <si>
    <t>184118</t>
  </si>
  <si>
    <t>n/a</t>
  </si>
  <si>
    <t>OSCAR ALBERTO JARAMILLO CARRILLO</t>
  </si>
  <si>
    <t>19.462.097</t>
  </si>
  <si>
    <t>11-44-101130048</t>
  </si>
  <si>
    <t>20186030020500120E</t>
  </si>
  <si>
    <t>001-166-18</t>
  </si>
  <si>
    <t>002-166-2018</t>
  </si>
  <si>
    <t>SOLUCIONES &amp; GESTION SAS</t>
  </si>
  <si>
    <t>900.942.020-4</t>
  </si>
  <si>
    <t>ACTUALIZACION DE LA ESTIMACION DEL PASIVO PENSIONAL DE LA LAFM A FECHA CORTE 31 DE DICIEMBRE DE 2018</t>
  </si>
  <si>
    <t>184418</t>
  </si>
  <si>
    <t xml:space="preserve">SUBDIRECTOR GENERAL DE CONTRATACION </t>
  </si>
  <si>
    <t>ROSA GARCIA CHAUX</t>
  </si>
  <si>
    <t>40.769.526</t>
  </si>
  <si>
    <t>15-46-101009314</t>
  </si>
  <si>
    <t>20%-50%-5%</t>
  </si>
  <si>
    <t>20186030020500127E</t>
  </si>
  <si>
    <t>001-167-18</t>
  </si>
  <si>
    <t>002-230-2018</t>
  </si>
  <si>
    <t>MERKADIANDO - YANETH OROZCO VILLA</t>
  </si>
  <si>
    <t>43.633.417-0</t>
  </si>
  <si>
    <t>ADQUISICIÓN DE LLANTAS EN ATENCIÓN AL CONVENIO No. 47-280 (17-015) SUSCRITO ENTRE ISAGEN S.A. E.P.S YA GENCIA LOGISTICA DE LAS FUERZAS MILITARES</t>
  </si>
  <si>
    <t>47-280</t>
  </si>
  <si>
    <t>TASD. SANDRA YURANI CHACON BLANCO</t>
  </si>
  <si>
    <t>2249932-7</t>
  </si>
  <si>
    <t>35%-50%-5%</t>
  </si>
  <si>
    <t>20186030309433</t>
  </si>
  <si>
    <t>001-168-18</t>
  </si>
  <si>
    <t>002-229-2018</t>
  </si>
  <si>
    <t xml:space="preserve">PARTES Y SERVCIOS INDUSTRIALES DE COLOMBIA SAS </t>
  </si>
  <si>
    <t>900.363.822-1</t>
  </si>
  <si>
    <t>ADQUIRIR RESPUESTO (INCLUYE INSTALACION) PARA MONTACARGA HYSTER (1) PLANTA DE RACIONES DE CAMPAÑA DE LA DIRECCION DE PRODUCCION DE LA ALFM</t>
  </si>
  <si>
    <t>FAIVER GOMEZ ROJAS</t>
  </si>
  <si>
    <t>15-44-101205783</t>
  </si>
  <si>
    <t>$5,850,000</t>
  </si>
  <si>
    <t xml:space="preserve">20186030020500125E </t>
  </si>
  <si>
    <t>001-169-2018</t>
  </si>
  <si>
    <t>002-231-2018</t>
  </si>
  <si>
    <t>SATENA</t>
  </si>
  <si>
    <t>899999143-4</t>
  </si>
  <si>
    <t>PRESTAR EL SERVICIO DE TRANSPORTE AEREO EN SUS RUTAS DE OPERACIÓN Y LA VENTA DE TIQUETES AEREOS DE OTROS OPERADORES NACIONALES REQUERIDOS POR LA OFICINA PRINCIPAL Y REGIONALES DE LA ALFM PARA LOS FUNCIONATIOS DE PLANTA DE PERSONAL EN COMISION Y CONTRATISTSS QUE EN OBJETO CONTRACTUAL SI LO INQUIQUE</t>
  </si>
  <si>
    <t>ZORAIDA MEDINA</t>
  </si>
  <si>
    <t>001-170-2018</t>
  </si>
  <si>
    <t>002-232-2018</t>
  </si>
  <si>
    <t>860.006.543-5</t>
  </si>
  <si>
    <t>CONTRATAR UN PROFESIONAL ESPECIALIZADO EN DERECHO LABORAL Y DERECHO PUBLICO, PARA CAPACITAR AL PERSONAL DE LA DIRECCIÓN ADMINISTRATIVA Y TALENTO HUMANO EN LOS TEMAS DE FUNCIÓN PÚBLICA EN LA AGENCIA LOGÍSTICA DE LAS FUERZAS MILITARES</t>
  </si>
  <si>
    <t>ANDREA DEL PILAR ACERO ROJAS</t>
  </si>
  <si>
    <t xml:space="preserve">20186030020500124E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</si>
</sst>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42" formatCode="_-&quot;$&quot;\ * #,##0_-;\-&quot;$&quot;\ * #,##0_-;_-&quot;$&quot;\ * &quot;-&quot;_-;_-@_-"/>
    <numFmt numFmtId="41" formatCode="_-* #,##0_-;\-* #,##0_-;_-* &quot;-&quot;_-;_-@_-"/>
    <numFmt numFmtId="43" formatCode="_-* #,##0.00_-;\-* #,##0.00_-;_-* &quot;-&quot;??_-;_-@_-"/>
    <numFmt numFmtId="164" formatCode="_([$€]\ * #,##0.00_);_([$€]\ * \(#,##0.00\);_([$€]\ * &quot;-&quot;??_);_(@_)"/>
    <numFmt numFmtId="165" formatCode="[$-C0A]d\-mmm\-yy;@"/>
    <numFmt numFmtId="166" formatCode="#,##0;[Red]#,##0"/>
    <numFmt numFmtId="167" formatCode="[$-C0A]dd\-mmm\-yy;@"/>
    <numFmt numFmtId="168" formatCode="_-&quot;$&quot;* #,##0.00_-;\-&quot;$&quot;* #,##0.00_-;_-&quot;$&quot;* &quot;-&quot;??_-;_-@_-"/>
    <numFmt numFmtId="169" formatCode="_-&quot;$&quot;\ * #,##0.00_-;\-&quot;$&quot;\ * #,##0.00_-;_-&quot;$&quot;\ * &quot;-&quot;_-;_-@_-"/>
    <numFmt numFmtId="170" formatCode="_(* #,##0_);_(* \(#,##0\);_(* &quot;-&quot;??_);_(@_)"/>
    <numFmt numFmtId="171" formatCode="d\-m\-yy;@"/>
    <numFmt numFmtId="172" formatCode="dd\-mm\-yy;@"/>
    <numFmt numFmtId="173" formatCode="_(* #,##0.00_);_(* \(#,##0.00\);_(* &quot;-&quot;??_);_(@_)"/>
    <numFmt numFmtId="174" formatCode="_-* #,##0_-;\-* #,##0_-;_-* &quot;-&quot;??_-;_-@_-"/>
    <numFmt numFmtId="175" formatCode="&quot;$&quot;\ #,##0"/>
  </numFmts>
  <fonts count="8" x14ac:knownFonts="1">
    <font>
      <sz val="11"/>
      <color theme="1"/>
      <name val="Calibri"/>
      <family val="2"/>
      <scheme val="minor"/>
    </font>
    <font>
      <sz val="11"/>
      <color theme="1"/>
      <name val="Calibri"/>
      <family val="2"/>
      <scheme val="minor"/>
    </font>
    <font>
      <sz val="8"/>
      <name val="Arial"/>
      <family val="2"/>
    </font>
    <font>
      <sz val="10"/>
      <name val="Arial"/>
      <family val="2"/>
    </font>
    <font>
      <sz val="11"/>
      <name val="Calibri"/>
      <family val="2"/>
      <scheme val="minor"/>
    </font>
    <font>
      <b/>
      <sz val="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164" fontId="0" fillId="0" borderId="0"/>
    <xf numFmtId="173"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3" fillId="0" borderId="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2">
    <xf numFmtId="164" fontId="0" fillId="0" borderId="0" xfId="0"/>
    <xf numFmtId="164" fontId="2" fillId="0" borderId="0" xfId="0" applyFont="1" applyAlignment="1">
      <alignment horizontal="center"/>
    </xf>
    <xf numFmtId="164" fontId="2" fillId="0" borderId="0" xfId="0" applyFont="1" applyAlignment="1">
      <alignment wrapText="1"/>
    </xf>
    <xf numFmtId="164" fontId="2" fillId="0" borderId="0" xfId="0" applyFont="1"/>
    <xf numFmtId="164" fontId="2" fillId="0" borderId="0" xfId="0" applyFont="1" applyAlignment="1">
      <alignment horizontal="left" wrapText="1"/>
    </xf>
    <xf numFmtId="164" fontId="2" fillId="0" borderId="0" xfId="0" applyFont="1" applyAlignment="1">
      <alignment horizontal="left" vertical="center"/>
    </xf>
    <xf numFmtId="1" fontId="2" fillId="0" borderId="0" xfId="0" applyNumberFormat="1" applyFont="1"/>
    <xf numFmtId="164" fontId="2" fillId="2" borderId="0" xfId="0" applyFont="1" applyFill="1"/>
    <xf numFmtId="164" fontId="2" fillId="2" borderId="0" xfId="0" applyFont="1" applyFill="1" applyAlignment="1">
      <alignment horizontal="center" wrapText="1"/>
    </xf>
    <xf numFmtId="164" fontId="2" fillId="0" borderId="0" xfId="0" applyFont="1" applyAlignment="1">
      <alignment horizontal="center" vertical="center"/>
    </xf>
    <xf numFmtId="164" fontId="2" fillId="0" borderId="0" xfId="0" applyFont="1" applyAlignment="1">
      <alignment vertical="center"/>
    </xf>
    <xf numFmtId="164"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4" fontId="2" fillId="0" borderId="0" xfId="0" applyFont="1" applyAlignment="1">
      <alignment horizontal="center" vertical="center" wrapText="1"/>
    </xf>
    <xf numFmtId="49" fontId="2" fillId="4" borderId="1" xfId="0" applyNumberFormat="1" applyFont="1" applyFill="1" applyBorder="1" applyAlignment="1">
      <alignment horizontal="center" vertical="center" wrapText="1"/>
    </xf>
    <xf numFmtId="164" fontId="2" fillId="4" borderId="1" xfId="0" applyFont="1" applyFill="1" applyBorder="1" applyAlignment="1">
      <alignment horizontal="center" vertical="center" wrapText="1"/>
    </xf>
    <xf numFmtId="164"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top" wrapText="1"/>
    </xf>
    <xf numFmtId="42" fontId="2" fillId="4" borderId="1" xfId="4" applyFont="1" applyFill="1" applyBorder="1" applyAlignment="1">
      <alignment horizontal="justify" vertical="center" wrapText="1"/>
    </xf>
    <xf numFmtId="0" fontId="2" fillId="4" borderId="1" xfId="6" applyNumberFormat="1" applyFont="1" applyFill="1" applyBorder="1" applyAlignment="1">
      <alignment horizontal="justify" vertical="top" wrapText="1"/>
    </xf>
    <xf numFmtId="43" fontId="2" fillId="4" borderId="1" xfId="6" applyFont="1" applyFill="1" applyBorder="1" applyAlignment="1">
      <alignment vertical="center" wrapText="1"/>
    </xf>
    <xf numFmtId="42" fontId="2" fillId="4" borderId="1" xfId="4" applyFont="1" applyFill="1" applyBorder="1" applyAlignment="1">
      <alignment horizontal="center" vertical="center" wrapText="1"/>
    </xf>
    <xf numFmtId="43" fontId="2" fillId="4" borderId="1" xfId="6" applyFont="1" applyFill="1" applyBorder="1" applyAlignment="1">
      <alignment horizontal="center" vertical="center" wrapText="1"/>
    </xf>
    <xf numFmtId="15" fontId="2" fillId="4" borderId="1" xfId="0" applyNumberFormat="1" applyFont="1" applyFill="1" applyBorder="1" applyAlignment="1">
      <alignment vertical="center" wrapText="1"/>
    </xf>
    <xf numFmtId="165" fontId="2" fillId="4" borderId="1" xfId="0" applyNumberFormat="1" applyFont="1" applyFill="1" applyBorder="1" applyAlignment="1">
      <alignment horizontal="center" vertical="center" wrapText="1"/>
    </xf>
    <xf numFmtId="15" fontId="2" fillId="4" borderId="1" xfId="0" applyNumberFormat="1" applyFont="1" applyFill="1" applyBorder="1" applyAlignment="1">
      <alignment horizontal="center" vertical="center" wrapText="1"/>
    </xf>
    <xf numFmtId="164" fontId="2" fillId="4" borderId="0" xfId="0" applyFont="1" applyFill="1" applyAlignment="1">
      <alignment horizontal="center" vertical="center" wrapText="1"/>
    </xf>
    <xf numFmtId="166" fontId="2" fillId="4" borderId="0" xfId="0" applyNumberFormat="1" applyFont="1" applyFill="1" applyAlignment="1">
      <alignment horizontal="center" vertical="center" wrapText="1"/>
    </xf>
    <xf numFmtId="15" fontId="2" fillId="4"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164" fontId="2" fillId="4" borderId="0" xfId="0" applyFont="1" applyFill="1" applyAlignment="1">
      <alignment horizontal="center" vertical="center"/>
    </xf>
    <xf numFmtId="0" fontId="2" fillId="4" borderId="0" xfId="0" applyNumberFormat="1" applyFont="1" applyFill="1" applyAlignment="1">
      <alignment horizontal="center" vertical="center"/>
    </xf>
    <xf numFmtId="9" fontId="2" fillId="4" borderId="0" xfId="0" applyNumberFormat="1" applyFont="1" applyFill="1" applyAlignment="1">
      <alignment horizontal="center" vertical="center"/>
    </xf>
    <xf numFmtId="166" fontId="2" fillId="4" borderId="0" xfId="6" applyNumberFormat="1" applyFont="1" applyFill="1" applyBorder="1" applyAlignment="1">
      <alignment horizontal="center" vertical="center" wrapText="1"/>
    </xf>
    <xf numFmtId="0" fontId="2" fillId="4" borderId="0" xfId="7" applyNumberFormat="1" applyFont="1" applyFill="1" applyAlignment="1">
      <alignment horizontal="center" vertical="center"/>
    </xf>
    <xf numFmtId="164" fontId="2" fillId="4" borderId="0" xfId="0" applyFont="1" applyFill="1" applyAlignment="1">
      <alignment vertical="center"/>
    </xf>
    <xf numFmtId="165" fontId="2" fillId="4" borderId="1" xfId="0" applyNumberFormat="1" applyFont="1" applyFill="1" applyBorder="1" applyAlignment="1">
      <alignment vertical="center" wrapText="1"/>
    </xf>
    <xf numFmtId="167" fontId="2" fillId="4" borderId="1" xfId="0" applyNumberFormat="1" applyFont="1" applyFill="1" applyBorder="1" applyAlignment="1">
      <alignment horizontal="center" vertical="center" wrapText="1"/>
    </xf>
    <xf numFmtId="164" fontId="2" fillId="4" borderId="0" xfId="0" applyFont="1" applyFill="1" applyAlignment="1">
      <alignment horizontal="justify" vertical="center" wrapText="1"/>
    </xf>
    <xf numFmtId="164" fontId="2" fillId="4" borderId="1" xfId="0" applyFont="1" applyFill="1" applyBorder="1" applyAlignment="1">
      <alignment horizontal="center" vertical="top" wrapText="1"/>
    </xf>
    <xf numFmtId="42" fontId="2" fillId="4" borderId="1" xfId="4" applyFont="1" applyFill="1" applyBorder="1" applyAlignment="1">
      <alignment horizontal="justify" vertical="top" wrapText="1"/>
    </xf>
    <xf numFmtId="15" fontId="2" fillId="4" borderId="1" xfId="0" applyNumberFormat="1" applyFont="1" applyFill="1" applyBorder="1" applyAlignment="1">
      <alignment vertical="top" wrapText="1"/>
    </xf>
    <xf numFmtId="165" fontId="2" fillId="4" borderId="1" xfId="0" applyNumberFormat="1" applyFont="1" applyFill="1" applyBorder="1" applyAlignment="1">
      <alignment horizontal="center" vertical="top" wrapText="1"/>
    </xf>
    <xf numFmtId="164" fontId="2" fillId="4" borderId="0" xfId="0" applyFont="1" applyFill="1" applyAlignment="1">
      <alignment horizontal="center" vertical="top" wrapText="1"/>
    </xf>
    <xf numFmtId="0" fontId="2" fillId="4" borderId="0" xfId="7" applyNumberFormat="1" applyFont="1" applyFill="1" applyAlignment="1">
      <alignment horizontal="center"/>
    </xf>
    <xf numFmtId="164" fontId="2" fillId="4" borderId="0" xfId="0" applyFont="1" applyFill="1"/>
    <xf numFmtId="164" fontId="2" fillId="4" borderId="0" xfId="0" applyFont="1" applyFill="1" applyAlignment="1">
      <alignment horizontal="center"/>
    </xf>
    <xf numFmtId="1" fontId="2" fillId="4" borderId="1" xfId="6" applyNumberFormat="1" applyFont="1" applyFill="1" applyBorder="1" applyAlignment="1">
      <alignment vertical="center" wrapText="1"/>
    </xf>
    <xf numFmtId="0" fontId="2" fillId="4" borderId="1" xfId="0" applyNumberFormat="1" applyFont="1" applyFill="1" applyBorder="1" applyAlignment="1">
      <alignment horizontal="left" vertical="center" wrapText="1"/>
    </xf>
    <xf numFmtId="0" fontId="2" fillId="4" borderId="1" xfId="6" applyNumberFormat="1" applyFont="1" applyFill="1" applyBorder="1" applyAlignment="1">
      <alignment horizontal="center" vertical="center" wrapText="1"/>
    </xf>
    <xf numFmtId="1" fontId="2" fillId="4" borderId="1" xfId="6" applyNumberFormat="1" applyFont="1" applyFill="1" applyBorder="1" applyAlignment="1">
      <alignment horizontal="center" vertical="center" wrapText="1"/>
    </xf>
    <xf numFmtId="6" fontId="2" fillId="4" borderId="0" xfId="4" applyNumberFormat="1" applyFont="1" applyFill="1" applyBorder="1" applyAlignment="1">
      <alignment horizontal="center" vertical="center" wrapText="1"/>
    </xf>
    <xf numFmtId="0" fontId="2" fillId="4" borderId="0" xfId="7" applyNumberFormat="1" applyFont="1" applyFill="1" applyAlignment="1">
      <alignment horizontal="center" vertical="center" wrapText="1"/>
    </xf>
    <xf numFmtId="164" fontId="2" fillId="4" borderId="1" xfId="0" applyFont="1" applyFill="1" applyBorder="1" applyAlignment="1">
      <alignment vertical="center" wrapText="1"/>
    </xf>
    <xf numFmtId="42" fontId="2" fillId="4" borderId="1" xfId="4" applyFont="1" applyFill="1" applyBorder="1" applyAlignment="1">
      <alignment vertical="center" wrapText="1"/>
    </xf>
    <xf numFmtId="164" fontId="2" fillId="4" borderId="0" xfId="0" applyFont="1" applyFill="1" applyAlignment="1">
      <alignment vertical="top" wrapText="1"/>
    </xf>
    <xf numFmtId="164" fontId="2" fillId="4" borderId="0" xfId="0" applyFont="1" applyFill="1" applyAlignment="1">
      <alignment vertical="center" wrapText="1"/>
    </xf>
    <xf numFmtId="43" fontId="2" fillId="4" borderId="0" xfId="6" applyFont="1" applyFill="1" applyBorder="1" applyAlignment="1">
      <alignment vertical="center" wrapText="1"/>
    </xf>
    <xf numFmtId="49" fontId="2" fillId="4" borderId="0" xfId="7" applyNumberFormat="1" applyFont="1" applyFill="1" applyAlignment="1">
      <alignment horizontal="center" vertical="center" wrapText="1"/>
    </xf>
    <xf numFmtId="15" fontId="2" fillId="4" borderId="1" xfId="0" applyNumberFormat="1" applyFont="1" applyFill="1" applyBorder="1" applyAlignment="1">
      <alignment horizontal="center" vertical="top" wrapText="1"/>
    </xf>
    <xf numFmtId="43" fontId="2" fillId="4" borderId="0" xfId="6" applyFont="1" applyFill="1" applyBorder="1" applyAlignment="1">
      <alignment horizontal="center" vertical="center" wrapText="1"/>
    </xf>
    <xf numFmtId="0" fontId="2" fillId="4" borderId="1" xfId="6" applyNumberFormat="1" applyFont="1" applyFill="1" applyBorder="1" applyAlignment="1">
      <alignment horizontal="center" vertical="top" wrapText="1"/>
    </xf>
    <xf numFmtId="168" fontId="2" fillId="4" borderId="1" xfId="3" applyFont="1" applyFill="1" applyBorder="1" applyAlignment="1">
      <alignment vertical="center" wrapText="1"/>
    </xf>
    <xf numFmtId="169" fontId="2" fillId="4" borderId="0" xfId="8" applyNumberFormat="1" applyFont="1" applyFill="1" applyBorder="1" applyAlignment="1">
      <alignment horizontal="center" vertical="center" wrapText="1"/>
    </xf>
    <xf numFmtId="0" fontId="2" fillId="4" borderId="1" xfId="9" applyNumberFormat="1" applyFont="1" applyFill="1" applyBorder="1" applyAlignment="1">
      <alignment horizontal="center" vertical="center" wrapText="1"/>
    </xf>
    <xf numFmtId="42" fontId="2" fillId="4" borderId="1" xfId="10" applyFont="1" applyFill="1" applyBorder="1" applyAlignment="1">
      <alignment horizontal="justify" vertical="center" wrapText="1"/>
    </xf>
    <xf numFmtId="0" fontId="2" fillId="4" borderId="1" xfId="11" applyNumberFormat="1" applyFont="1" applyFill="1" applyBorder="1" applyAlignment="1">
      <alignment horizontal="center" vertical="center" wrapText="1"/>
    </xf>
    <xf numFmtId="1" fontId="2" fillId="4" borderId="1" xfId="12" applyNumberFormat="1" applyFont="1" applyFill="1" applyBorder="1" applyAlignment="1">
      <alignment vertical="center" wrapText="1"/>
    </xf>
    <xf numFmtId="43" fontId="2" fillId="4" borderId="1" xfId="12" applyFont="1" applyFill="1" applyBorder="1" applyAlignment="1">
      <alignment horizontal="center" vertical="center" wrapText="1"/>
    </xf>
    <xf numFmtId="0" fontId="2" fillId="4" borderId="0" xfId="0" applyNumberFormat="1" applyFont="1" applyFill="1" applyAlignment="1">
      <alignment horizontal="center" vertical="center" wrapText="1"/>
    </xf>
    <xf numFmtId="168" fontId="2" fillId="4" borderId="0" xfId="3" applyFont="1" applyFill="1" applyBorder="1" applyAlignment="1">
      <alignment vertical="center" wrapText="1"/>
    </xf>
    <xf numFmtId="49" fontId="2" fillId="4" borderId="0" xfId="7" applyNumberFormat="1" applyFont="1" applyFill="1" applyAlignment="1">
      <alignment horizontal="center" vertical="center" wrapText="1"/>
    </xf>
    <xf numFmtId="164" fontId="2" fillId="4" borderId="0" xfId="0" applyFont="1" applyFill="1" applyAlignment="1">
      <alignment horizontal="center" vertical="center"/>
    </xf>
    <xf numFmtId="43" fontId="2" fillId="4" borderId="1" xfId="12" applyFont="1" applyFill="1" applyBorder="1" applyAlignment="1">
      <alignment vertical="center" wrapText="1"/>
    </xf>
    <xf numFmtId="0" fontId="2" fillId="4" borderId="1" xfId="6" applyNumberFormat="1" applyFont="1" applyFill="1" applyBorder="1" applyAlignment="1">
      <alignment horizontal="justify" vertical="center" wrapText="1"/>
    </xf>
    <xf numFmtId="42" fontId="2" fillId="4" borderId="0" xfId="13" applyFont="1" applyFill="1" applyBorder="1" applyAlignment="1">
      <alignment horizontal="center" vertical="center" wrapText="1"/>
    </xf>
    <xf numFmtId="0" fontId="2" fillId="4" borderId="1" xfId="14" applyNumberFormat="1" applyFont="1" applyFill="1" applyBorder="1" applyAlignment="1">
      <alignment horizontal="center" vertical="center" wrapText="1"/>
    </xf>
    <xf numFmtId="43" fontId="2" fillId="4" borderId="1" xfId="14" applyFont="1" applyFill="1" applyBorder="1" applyAlignment="1">
      <alignment horizontal="center" vertical="center" wrapText="1"/>
    </xf>
    <xf numFmtId="43" fontId="2" fillId="4" borderId="1" xfId="15" applyFont="1" applyFill="1" applyBorder="1" applyAlignment="1">
      <alignment horizontal="center" vertical="center" wrapText="1"/>
    </xf>
    <xf numFmtId="42" fontId="2" fillId="4" borderId="0" xfId="4" applyFont="1" applyFill="1" applyBorder="1" applyAlignment="1">
      <alignment horizontal="center" vertical="center" wrapText="1"/>
    </xf>
    <xf numFmtId="43" fontId="2" fillId="4" borderId="1" xfId="6" applyFont="1" applyFill="1" applyBorder="1" applyAlignment="1">
      <alignment horizontal="center" wrapText="1"/>
    </xf>
    <xf numFmtId="49" fontId="2" fillId="0" borderId="1" xfId="0" applyNumberFormat="1" applyFont="1" applyBorder="1" applyAlignment="1">
      <alignment horizontal="center" vertical="center" wrapText="1"/>
    </xf>
    <xf numFmtId="164" fontId="2" fillId="0" borderId="1" xfId="0" applyFont="1" applyBorder="1" applyAlignment="1">
      <alignment horizontal="center" vertical="center" wrapText="1"/>
    </xf>
    <xf numFmtId="164" fontId="2"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42" fontId="2" fillId="0" borderId="1" xfId="4" applyFont="1" applyFill="1" applyBorder="1" applyAlignment="1">
      <alignment vertical="center" wrapText="1"/>
    </xf>
    <xf numFmtId="0" fontId="2" fillId="0" borderId="1" xfId="6" applyNumberFormat="1" applyFont="1" applyFill="1" applyBorder="1" applyAlignment="1">
      <alignment vertical="center" wrapText="1"/>
    </xf>
    <xf numFmtId="14" fontId="2" fillId="0" borderId="1" xfId="6" applyNumberFormat="1" applyFont="1" applyFill="1" applyBorder="1" applyAlignment="1">
      <alignment vertical="center" wrapText="1"/>
    </xf>
    <xf numFmtId="43" fontId="2" fillId="0" borderId="1" xfId="6" applyFont="1" applyFill="1" applyBorder="1" applyAlignment="1">
      <alignment vertical="center" wrapText="1"/>
    </xf>
    <xf numFmtId="42" fontId="2" fillId="0" borderId="1" xfId="4" applyFont="1" applyFill="1" applyBorder="1" applyAlignment="1">
      <alignment horizontal="center" vertical="center" wrapText="1"/>
    </xf>
    <xf numFmtId="43" fontId="2" fillId="0" borderId="1" xfId="6"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5" fontId="2" fillId="0" borderId="1" xfId="0" applyNumberFormat="1" applyFont="1" applyBorder="1" applyAlignment="1">
      <alignment horizontal="justify" vertical="top" wrapText="1"/>
    </xf>
    <xf numFmtId="1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9" fontId="2" fillId="0" borderId="0" xfId="0" applyNumberFormat="1" applyFont="1" applyAlignment="1">
      <alignment horizontal="center" vertical="center"/>
    </xf>
    <xf numFmtId="166" fontId="2" fillId="0" borderId="0" xfId="6" applyNumberFormat="1" applyFont="1" applyFill="1" applyBorder="1" applyAlignment="1">
      <alignment horizontal="center" vertical="center" wrapText="1"/>
    </xf>
    <xf numFmtId="0" fontId="2" fillId="0" borderId="0" xfId="7" applyNumberFormat="1" applyFont="1" applyAlignment="1">
      <alignment horizontal="center" vertical="center"/>
    </xf>
    <xf numFmtId="49" fontId="2" fillId="0" borderId="0" xfId="7" applyNumberFormat="1" applyFont="1" applyAlignment="1">
      <alignment horizontal="center" vertical="center" wrapText="1"/>
    </xf>
    <xf numFmtId="0" fontId="2" fillId="4" borderId="1" xfId="0" applyNumberFormat="1" applyFont="1" applyFill="1" applyBorder="1" applyAlignment="1">
      <alignment horizontal="center" vertical="center" wrapText="1"/>
    </xf>
    <xf numFmtId="15" fontId="4" fillId="4" borderId="1" xfId="0" applyNumberFormat="1" applyFont="1" applyFill="1" applyBorder="1" applyAlignment="1">
      <alignment horizontal="center" vertical="center" wrapText="1"/>
    </xf>
    <xf numFmtId="15" fontId="2" fillId="4" borderId="0" xfId="0" applyNumberFormat="1" applyFont="1" applyFill="1" applyAlignment="1">
      <alignment vertical="center" wrapText="1"/>
    </xf>
    <xf numFmtId="9" fontId="2" fillId="4" borderId="0" xfId="0" applyNumberFormat="1" applyFont="1" applyFill="1" applyAlignment="1">
      <alignment horizontal="center" vertical="center" wrapText="1"/>
    </xf>
    <xf numFmtId="166" fontId="2" fillId="4" borderId="0" xfId="6" applyNumberFormat="1" applyFont="1" applyFill="1" applyBorder="1" applyAlignment="1">
      <alignment vertical="center" wrapText="1"/>
    </xf>
    <xf numFmtId="0" fontId="2" fillId="4" borderId="1" xfId="6" applyNumberFormat="1" applyFont="1" applyFill="1" applyBorder="1" applyAlignment="1">
      <alignment vertical="center" wrapText="1"/>
    </xf>
    <xf numFmtId="15" fontId="2" fillId="4" borderId="1" xfId="0" applyNumberFormat="1" applyFont="1" applyFill="1" applyBorder="1" applyAlignment="1">
      <alignment horizontal="justify" vertical="top" wrapText="1"/>
    </xf>
    <xf numFmtId="4" fontId="2" fillId="4" borderId="1" xfId="0" applyNumberFormat="1" applyFont="1" applyFill="1" applyBorder="1" applyAlignment="1">
      <alignment horizontal="right" vertical="center" wrapText="1"/>
    </xf>
    <xf numFmtId="14" fontId="2" fillId="4" borderId="1" xfId="6" applyNumberFormat="1" applyFont="1" applyFill="1" applyBorder="1" applyAlignment="1">
      <alignment horizontal="center" vertical="center" wrapText="1"/>
    </xf>
    <xf numFmtId="14" fontId="2" fillId="4" borderId="1" xfId="4" applyNumberFormat="1" applyFont="1" applyFill="1" applyBorder="1" applyAlignment="1">
      <alignment horizontal="center" vertical="center" wrapText="1"/>
    </xf>
    <xf numFmtId="1" fontId="2" fillId="4" borderId="1" xfId="4"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4" borderId="0" xfId="0" applyNumberFormat="1" applyFont="1" applyFill="1" applyAlignment="1">
      <alignment horizontal="center" vertical="center" wrapText="1"/>
    </xf>
    <xf numFmtId="167" fontId="2" fillId="4" borderId="1" xfId="0" applyNumberFormat="1" applyFont="1" applyFill="1" applyBorder="1" applyAlignment="1">
      <alignment vertical="center" wrapText="1"/>
    </xf>
    <xf numFmtId="170" fontId="2" fillId="4" borderId="0" xfId="0" applyNumberFormat="1" applyFont="1" applyFill="1" applyAlignment="1">
      <alignment horizontal="center" vertical="center"/>
    </xf>
    <xf numFmtId="171" fontId="2" fillId="4" borderId="1" xfId="0" applyNumberFormat="1" applyFont="1" applyFill="1" applyBorder="1" applyAlignment="1">
      <alignment horizontal="center" vertical="center"/>
    </xf>
    <xf numFmtId="3" fontId="2" fillId="4" borderId="0" xfId="0" applyNumberFormat="1" applyFont="1" applyFill="1" applyAlignment="1">
      <alignment horizontal="center" vertical="center" wrapText="1"/>
    </xf>
    <xf numFmtId="165" fontId="2" fillId="4" borderId="1" xfId="0" applyNumberFormat="1" applyFont="1" applyFill="1" applyBorder="1"/>
    <xf numFmtId="164" fontId="2" fillId="4" borderId="1" xfId="0" applyFont="1" applyFill="1" applyBorder="1"/>
    <xf numFmtId="167" fontId="2" fillId="4" borderId="1" xfId="0" applyNumberFormat="1" applyFont="1" applyFill="1" applyBorder="1" applyAlignment="1">
      <alignment horizontal="center" vertical="center"/>
    </xf>
    <xf numFmtId="49" fontId="2" fillId="4" borderId="0" xfId="7" applyNumberFormat="1" applyFont="1" applyFill="1" applyAlignment="1">
      <alignment vertical="center" wrapText="1"/>
    </xf>
    <xf numFmtId="1" fontId="2" fillId="4" borderId="0" xfId="0" applyNumberFormat="1" applyFont="1" applyFill="1" applyAlignment="1">
      <alignment horizontal="center" vertical="center"/>
    </xf>
    <xf numFmtId="42" fontId="2" fillId="4" borderId="0" xfId="4" applyFont="1" applyFill="1" applyBorder="1" applyAlignment="1">
      <alignment vertical="center" wrapText="1"/>
    </xf>
    <xf numFmtId="42" fontId="2" fillId="4" borderId="1" xfId="13" applyFont="1" applyFill="1" applyBorder="1" applyAlignment="1">
      <alignment horizontal="center" vertical="center" wrapText="1"/>
    </xf>
    <xf numFmtId="0" fontId="2" fillId="4" borderId="1" xfId="16" applyNumberFormat="1" applyFont="1" applyFill="1" applyBorder="1" applyAlignment="1">
      <alignment horizontal="center" vertical="center" wrapText="1"/>
    </xf>
    <xf numFmtId="0" fontId="2" fillId="4" borderId="1" xfId="17" applyNumberFormat="1" applyFont="1" applyFill="1" applyBorder="1" applyAlignment="1">
      <alignment horizontal="center" vertical="center" wrapText="1"/>
    </xf>
    <xf numFmtId="0" fontId="2" fillId="4" borderId="1" xfId="18" applyNumberFormat="1" applyFont="1" applyFill="1" applyBorder="1" applyAlignment="1">
      <alignment horizontal="center" vertical="center" wrapText="1"/>
    </xf>
    <xf numFmtId="164" fontId="2" fillId="4" borderId="1" xfId="0" applyFont="1" applyFill="1" applyBorder="1" applyAlignment="1">
      <alignment horizontal="left" vertical="top" wrapText="1"/>
    </xf>
    <xf numFmtId="49" fontId="2" fillId="4" borderId="0" xfId="0" applyNumberFormat="1" applyFont="1" applyFill="1" applyAlignment="1">
      <alignment horizontal="center" vertical="center"/>
    </xf>
    <xf numFmtId="42" fontId="2" fillId="4" borderId="1" xfId="4" applyFont="1" applyFill="1" applyBorder="1" applyAlignment="1">
      <alignment horizontal="right" vertical="center" wrapText="1"/>
    </xf>
    <xf numFmtId="14" fontId="2" fillId="4" borderId="1" xfId="0" applyNumberFormat="1" applyFont="1" applyFill="1" applyBorder="1" applyAlignment="1">
      <alignment horizontal="center" vertical="center" wrapText="1"/>
    </xf>
    <xf numFmtId="172" fontId="2" fillId="4" borderId="0" xfId="0" applyNumberFormat="1" applyFont="1" applyFill="1" applyAlignment="1">
      <alignment vertical="center"/>
    </xf>
    <xf numFmtId="41" fontId="2" fillId="4" borderId="1" xfId="2" applyFont="1" applyFill="1" applyBorder="1" applyAlignment="1">
      <alignment horizontal="center" vertical="center" wrapText="1"/>
    </xf>
    <xf numFmtId="9" fontId="2" fillId="4" borderId="0" xfId="5" applyFont="1" applyFill="1" applyBorder="1" applyAlignment="1">
      <alignment horizontal="center" vertical="center"/>
    </xf>
    <xf numFmtId="49" fontId="2" fillId="4" borderId="1" xfId="0" applyNumberFormat="1" applyFont="1" applyFill="1" applyBorder="1" applyAlignment="1">
      <alignment horizontal="left" vertical="center" wrapText="1"/>
    </xf>
    <xf numFmtId="1" fontId="2" fillId="4" borderId="1" xfId="0" applyNumberFormat="1" applyFont="1" applyFill="1" applyBorder="1" applyAlignment="1">
      <alignment wrapText="1"/>
    </xf>
    <xf numFmtId="173" fontId="2" fillId="4" borderId="1" xfId="1" applyFont="1" applyFill="1" applyBorder="1" applyAlignment="1">
      <alignment horizontal="center" vertical="center" wrapText="1"/>
    </xf>
    <xf numFmtId="42" fontId="2" fillId="4" borderId="0" xfId="4" applyFont="1" applyFill="1" applyBorder="1" applyAlignment="1">
      <alignment horizontal="center" vertical="center"/>
    </xf>
    <xf numFmtId="166" fontId="2" fillId="4" borderId="0" xfId="0" applyNumberFormat="1" applyFont="1" applyFill="1" applyAlignment="1">
      <alignment vertical="center" wrapText="1"/>
    </xf>
    <xf numFmtId="165" fontId="2" fillId="4" borderId="0" xfId="0" applyNumberFormat="1" applyFont="1" applyFill="1" applyAlignment="1">
      <alignment horizontal="center" vertical="center"/>
    </xf>
    <xf numFmtId="0"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1" xfId="6" applyNumberFormat="1" applyFont="1" applyFill="1" applyBorder="1" applyAlignment="1">
      <alignment horizontal="center" vertical="center" wrapText="1"/>
    </xf>
    <xf numFmtId="167" fontId="2" fillId="0" borderId="1" xfId="0" applyNumberFormat="1" applyFont="1" applyBorder="1" applyAlignment="1">
      <alignment horizontal="center" vertical="center" wrapText="1"/>
    </xf>
    <xf numFmtId="15" fontId="2" fillId="0" borderId="0" xfId="0" applyNumberFormat="1" applyFont="1" applyAlignment="1">
      <alignment horizontal="right" vertical="center" wrapText="1"/>
    </xf>
    <xf numFmtId="165" fontId="2" fillId="0" borderId="0" xfId="0" applyNumberFormat="1" applyFont="1" applyAlignment="1">
      <alignment horizontal="center" vertical="center"/>
    </xf>
    <xf numFmtId="164" fontId="2" fillId="0" borderId="0" xfId="0" applyFont="1" applyAlignment="1">
      <alignment vertical="center" wrapText="1"/>
    </xf>
    <xf numFmtId="9" fontId="2" fillId="0" borderId="0" xfId="0" applyNumberFormat="1" applyFont="1" applyAlignment="1">
      <alignment horizontal="center" vertical="center" wrapText="1"/>
    </xf>
    <xf numFmtId="166" fontId="2" fillId="0" borderId="0" xfId="0" applyNumberFormat="1" applyFont="1" applyAlignment="1">
      <alignment horizontal="right" vertical="center" wrapText="1"/>
    </xf>
    <xf numFmtId="4" fontId="2" fillId="4" borderId="1" xfId="6" applyNumberFormat="1" applyFont="1" applyFill="1" applyBorder="1" applyAlignment="1">
      <alignment horizontal="center" vertical="center" wrapText="1"/>
    </xf>
    <xf numFmtId="164" fontId="2" fillId="4" borderId="1" xfId="0" applyFont="1" applyFill="1" applyBorder="1" applyAlignment="1">
      <alignment wrapText="1"/>
    </xf>
    <xf numFmtId="49" fontId="2" fillId="4" borderId="1" xfId="0" applyNumberFormat="1" applyFont="1" applyFill="1" applyBorder="1" applyAlignment="1">
      <alignment horizontal="left" vertical="top" wrapText="1"/>
    </xf>
    <xf numFmtId="166" fontId="2" fillId="4" borderId="0" xfId="0" applyNumberFormat="1" applyFont="1" applyFill="1" applyAlignment="1">
      <alignment horizontal="center" vertical="center"/>
    </xf>
    <xf numFmtId="164" fontId="2" fillId="4" borderId="1" xfId="0" applyFont="1" applyFill="1" applyBorder="1" applyAlignment="1">
      <alignment horizontal="justify" vertical="center" wrapText="1"/>
    </xf>
    <xf numFmtId="174" fontId="2" fillId="4" borderId="1" xfId="6" applyNumberFormat="1" applyFont="1" applyFill="1" applyBorder="1" applyAlignment="1">
      <alignment vertical="center" wrapText="1"/>
    </xf>
    <xf numFmtId="164" fontId="2" fillId="4" borderId="1" xfId="0" applyFont="1" applyFill="1" applyBorder="1" applyAlignment="1">
      <alignment horizontal="center" wrapText="1"/>
    </xf>
    <xf numFmtId="164" fontId="2" fillId="4" borderId="1" xfId="0" applyFont="1" applyFill="1" applyBorder="1" applyAlignment="1">
      <alignment horizontal="left" wrapText="1"/>
    </xf>
    <xf numFmtId="164" fontId="2" fillId="4" borderId="0" xfId="0" applyFont="1" applyFill="1" applyAlignment="1">
      <alignment wrapText="1"/>
    </xf>
    <xf numFmtId="1" fontId="2" fillId="4" borderId="1" xfId="0" applyNumberFormat="1" applyFont="1" applyFill="1" applyBorder="1" applyAlignment="1">
      <alignment vertical="center" wrapText="1"/>
    </xf>
    <xf numFmtId="42" fontId="2" fillId="4" borderId="0" xfId="4" applyFont="1" applyFill="1" applyBorder="1" applyAlignment="1">
      <alignment vertical="center"/>
    </xf>
    <xf numFmtId="164" fontId="2" fillId="0" borderId="1" xfId="0" applyFont="1" applyBorder="1" applyAlignment="1">
      <alignment wrapText="1"/>
    </xf>
    <xf numFmtId="0" fontId="2" fillId="0" borderId="0" xfId="0" applyNumberFormat="1" applyFont="1" applyAlignment="1">
      <alignment horizontal="center" vertical="center" wrapText="1"/>
    </xf>
    <xf numFmtId="42" fontId="2" fillId="0" borderId="0" xfId="4" applyFont="1" applyFill="1" applyBorder="1" applyAlignment="1">
      <alignment vertical="center"/>
    </xf>
    <xf numFmtId="164" fontId="2" fillId="4" borderId="1" xfId="0" applyFont="1" applyFill="1" applyBorder="1" applyAlignment="1">
      <alignment horizontal="center" vertical="center"/>
    </xf>
    <xf numFmtId="164" fontId="2" fillId="4" borderId="1" xfId="0" applyFont="1" applyFill="1" applyBorder="1" applyAlignment="1">
      <alignment vertical="center"/>
    </xf>
    <xf numFmtId="49" fontId="2" fillId="4" borderId="1" xfId="0" applyNumberFormat="1" applyFont="1" applyFill="1" applyBorder="1" applyAlignment="1">
      <alignment horizontal="center" vertical="center"/>
    </xf>
    <xf numFmtId="175"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14" fontId="2" fillId="4" borderId="0" xfId="0" applyNumberFormat="1" applyFont="1" applyFill="1" applyAlignment="1">
      <alignment horizontal="center" vertical="center"/>
    </xf>
    <xf numFmtId="9" fontId="2" fillId="4" borderId="0" xfId="0" applyNumberFormat="1" applyFont="1" applyFill="1" applyAlignment="1">
      <alignment vertical="center"/>
    </xf>
    <xf numFmtId="175" fontId="2" fillId="4" borderId="0" xfId="0" applyNumberFormat="1" applyFont="1" applyFill="1" applyAlignment="1">
      <alignment vertical="center"/>
    </xf>
    <xf numFmtId="175" fontId="2" fillId="4" borderId="0" xfId="0" applyNumberFormat="1" applyFont="1" applyFill="1" applyAlignment="1">
      <alignment horizontal="center" vertical="center"/>
    </xf>
    <xf numFmtId="3" fontId="2" fillId="4" borderId="0" xfId="0" applyNumberFormat="1" applyFont="1" applyFill="1" applyAlignment="1">
      <alignment horizontal="center" vertical="center"/>
    </xf>
    <xf numFmtId="164" fontId="2" fillId="4" borderId="1" xfId="0" applyFont="1" applyFill="1" applyBorder="1" applyAlignment="1">
      <alignment horizontal="center"/>
    </xf>
    <xf numFmtId="42" fontId="2" fillId="4" borderId="1" xfId="4" applyFont="1" applyFill="1" applyBorder="1" applyAlignment="1">
      <alignment horizontal="center" vertical="center"/>
    </xf>
    <xf numFmtId="1" fontId="5" fillId="5" borderId="1" xfId="4" applyNumberFormat="1" applyFont="1" applyFill="1" applyBorder="1" applyAlignment="1">
      <alignment vertical="center" wrapText="1"/>
    </xf>
    <xf numFmtId="164" fontId="2" fillId="0" borderId="0" xfId="0" applyFont="1" applyAlignment="1">
      <alignment horizontal="center" wrapText="1"/>
    </xf>
  </cellXfs>
  <cellStyles count="19">
    <cellStyle name="Millares" xfId="1" builtinId="3"/>
    <cellStyle name="Millares [0]" xfId="2" builtinId="6"/>
    <cellStyle name="Millares 10" xfId="6" xr:uid="{44BB38D5-8C54-4C2F-8BA8-C6573FC1796C}"/>
    <cellStyle name="Millares 100" xfId="15" xr:uid="{C4044891-D2BB-455F-ACB5-6AA76D7AAE0C}"/>
    <cellStyle name="Millares 104" xfId="11" xr:uid="{E98AC648-E150-4875-B767-FC733EA8AB9F}"/>
    <cellStyle name="Millares 105" xfId="12" xr:uid="{059B3BA3-054C-4197-9547-53F38C83CFF9}"/>
    <cellStyle name="Millares 31" xfId="9" xr:uid="{554EAB84-D8AB-4F93-B520-DC2E29EC2769}"/>
    <cellStyle name="Millares 59" xfId="16" xr:uid="{FE36D584-6127-402C-BCE2-572F1DFD3684}"/>
    <cellStyle name="Millares 75" xfId="17" xr:uid="{3B5A1E61-84A0-4326-995B-3042CB430912}"/>
    <cellStyle name="Millares 77" xfId="18" xr:uid="{4803280D-F552-4487-9C69-08679C87E402}"/>
    <cellStyle name="Millares 99" xfId="14" xr:uid="{64637697-18AD-4830-9935-B165AA61520D}"/>
    <cellStyle name="Moneda" xfId="3" builtinId="4"/>
    <cellStyle name="Moneda [0]" xfId="4" builtinId="7"/>
    <cellStyle name="Moneda [0] 2" xfId="8" xr:uid="{C8BE427E-ACDE-482F-BB36-AE05DA0F79D5}"/>
    <cellStyle name="Moneda [0] 4" xfId="13" xr:uid="{55554859-A004-480A-A2DB-FEB8BF23F9EE}"/>
    <cellStyle name="Moneda [0] 5" xfId="10" xr:uid="{62A66987-7A5D-4065-967E-625A72545CCA}"/>
    <cellStyle name="Normal" xfId="0" builtinId="0"/>
    <cellStyle name="Normal 2" xfId="7" xr:uid="{39B5FAD2-248A-46F6-9F2A-389DDBE4B48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Directory/CompanyProfiles/DynamicMyCompanyProfile/ViewProfile?companyCode=701365363"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48F4-F781-48CA-A61C-907A8693768A}">
  <sheetPr>
    <tabColor rgb="FF92D050"/>
  </sheetPr>
  <dimension ref="A1:AU199"/>
  <sheetViews>
    <sheetView tabSelected="1" zoomScaleNormal="100" workbookViewId="0">
      <pane xSplit="6" ySplit="2" topLeftCell="G48" activePane="bottomRight" state="frozen"/>
      <selection activeCell="A2" sqref="A2"/>
      <selection pane="topRight" activeCell="A2" sqref="A2"/>
      <selection pane="bottomLeft" activeCell="A2" sqref="A2"/>
      <selection pane="bottomRight" activeCell="A56" sqref="A56"/>
    </sheetView>
  </sheetViews>
  <sheetFormatPr baseColWidth="10" defaultColWidth="11.42578125" defaultRowHeight="11.25" x14ac:dyDescent="0.2"/>
  <cols>
    <col min="1" max="1" width="25.5703125" style="1" bestFit="1" customWidth="1"/>
    <col min="2" max="2" width="20.42578125" style="2" bestFit="1" customWidth="1"/>
    <col min="3" max="3" width="22.28515625" style="3" bestFit="1" customWidth="1"/>
    <col min="4" max="4" width="19" style="3" bestFit="1" customWidth="1"/>
    <col min="5" max="5" width="25" style="1" bestFit="1" customWidth="1"/>
    <col min="6" max="6" width="36.5703125" style="4" bestFit="1" customWidth="1"/>
    <col min="7" max="7" width="17" style="3" bestFit="1" customWidth="1"/>
    <col min="8" max="8" width="22.7109375" style="3" bestFit="1" customWidth="1"/>
    <col min="9" max="9" width="82.5703125" style="5" bestFit="1" customWidth="1"/>
    <col min="10" max="10" width="16.140625" style="3" bestFit="1" customWidth="1"/>
    <col min="11" max="11" width="18.7109375" style="3" bestFit="1" customWidth="1"/>
    <col min="12" max="12" width="15.5703125" style="3" bestFit="1" customWidth="1"/>
    <col min="13" max="13" width="16.5703125" style="3" bestFit="1" customWidth="1"/>
    <col min="14" max="14" width="8.5703125" style="3" bestFit="1" customWidth="1"/>
    <col min="15" max="15" width="26.5703125" style="3" bestFit="1" customWidth="1"/>
    <col min="16" max="16" width="15.5703125" style="6" bestFit="1" customWidth="1"/>
    <col min="17" max="17" width="14.85546875" style="3" bestFit="1" customWidth="1"/>
    <col min="18" max="18" width="18.140625" style="3" bestFit="1" customWidth="1"/>
    <col min="19" max="19" width="14" style="3" bestFit="1" customWidth="1"/>
    <col min="20" max="21" width="15.140625" style="3" bestFit="1" customWidth="1"/>
    <col min="22" max="22" width="21" style="3" bestFit="1" customWidth="1"/>
    <col min="23" max="23" width="15.28515625" style="3" bestFit="1" customWidth="1"/>
    <col min="24" max="24" width="17.28515625" style="3" bestFit="1" customWidth="1"/>
    <col min="25" max="25" width="15" style="3" bestFit="1" customWidth="1"/>
    <col min="26" max="26" width="15.42578125" style="3" bestFit="1" customWidth="1"/>
    <col min="27" max="27" width="15" style="3" bestFit="1" customWidth="1"/>
    <col min="28" max="28" width="15.140625" style="181" bestFit="1" customWidth="1"/>
    <col min="29" max="29" width="19.85546875" style="9" bestFit="1" customWidth="1"/>
    <col min="30" max="30" width="16.140625" style="10" bestFit="1" customWidth="1"/>
    <col min="31" max="31" width="24.7109375" style="3" bestFit="1" customWidth="1"/>
    <col min="32" max="32" width="39.7109375" style="3" bestFit="1" customWidth="1"/>
    <col min="33" max="33" width="34.7109375" style="3" bestFit="1" customWidth="1"/>
    <col min="34" max="34" width="22.42578125" style="3" bestFit="1" customWidth="1"/>
    <col min="35" max="35" width="15.5703125" style="3" bestFit="1" customWidth="1"/>
    <col min="36" max="36" width="17" style="3" bestFit="1" customWidth="1"/>
    <col min="37" max="37" width="15.5703125" style="3" bestFit="1" customWidth="1"/>
    <col min="38" max="38" width="20.5703125" style="3" bestFit="1" customWidth="1"/>
    <col min="39" max="39" width="36.7109375" style="2" bestFit="1" customWidth="1"/>
    <col min="40" max="40" width="35.140625" style="3" bestFit="1" customWidth="1"/>
    <col min="41" max="41" width="37.5703125" style="3" bestFit="1" customWidth="1"/>
    <col min="42" max="42" width="26.7109375" style="3" bestFit="1" customWidth="1"/>
    <col min="43" max="43" width="31.140625" style="3" bestFit="1" customWidth="1"/>
    <col min="44" max="44" width="28.28515625" style="3" bestFit="1" customWidth="1"/>
    <col min="45" max="45" width="46.85546875" style="3" bestFit="1" customWidth="1"/>
    <col min="46" max="46" width="18.85546875" style="1" bestFit="1" customWidth="1"/>
    <col min="47" max="16384" width="11.42578125" style="3"/>
  </cols>
  <sheetData>
    <row r="1" spans="1:46" x14ac:dyDescent="0.2">
      <c r="W1" s="7"/>
      <c r="Z1" s="7"/>
      <c r="AB1" s="8"/>
    </row>
    <row r="2" spans="1:46" ht="33.75" x14ac:dyDescent="0.25">
      <c r="A2" s="11" t="s">
        <v>0</v>
      </c>
      <c r="B2" s="11" t="s">
        <v>1</v>
      </c>
      <c r="C2" s="11" t="s">
        <v>2</v>
      </c>
      <c r="D2" s="11" t="s">
        <v>3</v>
      </c>
      <c r="E2" s="11" t="s">
        <v>4</v>
      </c>
      <c r="F2" s="11" t="s">
        <v>5</v>
      </c>
      <c r="G2" s="11" t="s">
        <v>6</v>
      </c>
      <c r="H2" s="11" t="s">
        <v>7</v>
      </c>
      <c r="I2" s="11" t="s">
        <v>8</v>
      </c>
      <c r="J2" s="11" t="s">
        <v>9</v>
      </c>
      <c r="K2" s="11" t="s">
        <v>10</v>
      </c>
      <c r="L2" s="11" t="s">
        <v>11</v>
      </c>
      <c r="M2" s="11" t="s">
        <v>12</v>
      </c>
      <c r="N2" s="11" t="s">
        <v>13</v>
      </c>
      <c r="O2" s="11" t="s">
        <v>14</v>
      </c>
      <c r="P2" s="12" t="s">
        <v>15</v>
      </c>
      <c r="Q2" s="11" t="s">
        <v>16</v>
      </c>
      <c r="R2" s="11" t="s">
        <v>17</v>
      </c>
      <c r="S2" s="11" t="s">
        <v>18</v>
      </c>
      <c r="T2" s="11" t="s">
        <v>19</v>
      </c>
      <c r="U2" s="11" t="s">
        <v>20</v>
      </c>
      <c r="V2" s="11" t="s">
        <v>21</v>
      </c>
      <c r="W2" s="11" t="s">
        <v>22</v>
      </c>
      <c r="X2" s="11" t="s">
        <v>23</v>
      </c>
      <c r="Y2" s="11" t="s">
        <v>24</v>
      </c>
      <c r="Z2" s="11" t="s">
        <v>25</v>
      </c>
      <c r="AA2" s="11" t="s">
        <v>25</v>
      </c>
      <c r="AB2" s="11" t="s">
        <v>26</v>
      </c>
      <c r="AC2" s="11" t="s">
        <v>27</v>
      </c>
      <c r="AD2" s="11" t="s">
        <v>28</v>
      </c>
      <c r="AE2" s="11" t="s">
        <v>29</v>
      </c>
      <c r="AF2" s="11" t="s">
        <v>30</v>
      </c>
      <c r="AG2" s="13" t="s">
        <v>31</v>
      </c>
      <c r="AH2" s="13" t="s">
        <v>32</v>
      </c>
      <c r="AI2" s="13" t="s">
        <v>33</v>
      </c>
      <c r="AJ2" s="13" t="s">
        <v>34</v>
      </c>
      <c r="AK2" s="13" t="s">
        <v>35</v>
      </c>
      <c r="AL2" s="13" t="s">
        <v>36</v>
      </c>
      <c r="AM2" s="13" t="s">
        <v>37</v>
      </c>
      <c r="AN2" s="13" t="s">
        <v>38</v>
      </c>
      <c r="AO2" s="13" t="s">
        <v>39</v>
      </c>
      <c r="AP2" s="13" t="s">
        <v>40</v>
      </c>
      <c r="AQ2" s="13" t="s">
        <v>41</v>
      </c>
      <c r="AR2" s="13" t="s">
        <v>42</v>
      </c>
      <c r="AS2" s="13" t="s">
        <v>30</v>
      </c>
      <c r="AT2" s="13" t="s">
        <v>43</v>
      </c>
    </row>
    <row r="3" spans="1:46" ht="56.25" x14ac:dyDescent="0.2">
      <c r="A3" s="14" t="s">
        <v>44</v>
      </c>
      <c r="B3" s="15" t="s">
        <v>45</v>
      </c>
      <c r="C3" s="15" t="s">
        <v>46</v>
      </c>
      <c r="D3" s="15" t="s">
        <v>47</v>
      </c>
      <c r="E3" s="14" t="s">
        <v>48</v>
      </c>
      <c r="F3" s="16" t="s">
        <v>49</v>
      </c>
      <c r="G3" s="17">
        <v>51634841</v>
      </c>
      <c r="H3" s="17"/>
      <c r="I3" s="18" t="s">
        <v>50</v>
      </c>
      <c r="J3" s="15"/>
      <c r="K3" s="15"/>
      <c r="L3" s="15"/>
      <c r="M3" s="19">
        <v>22200000</v>
      </c>
      <c r="N3" s="20"/>
      <c r="O3" s="20"/>
      <c r="P3" s="21"/>
      <c r="Q3" s="21">
        <f>M3+P3</f>
        <v>22200000</v>
      </c>
      <c r="R3" s="22"/>
      <c r="S3" s="23">
        <f>Q3-R3</f>
        <v>22200000</v>
      </c>
      <c r="T3" s="23"/>
      <c r="U3" s="24">
        <v>43115</v>
      </c>
      <c r="V3" s="24"/>
      <c r="W3" s="25">
        <v>43297</v>
      </c>
      <c r="X3" s="25"/>
      <c r="Y3" s="25"/>
      <c r="Z3" s="25"/>
      <c r="AA3" s="25"/>
      <c r="AB3" s="15" t="s">
        <v>51</v>
      </c>
      <c r="AC3" s="26">
        <v>43424</v>
      </c>
      <c r="AD3" s="26" t="s">
        <v>52</v>
      </c>
      <c r="AE3" s="26" t="s">
        <v>53</v>
      </c>
      <c r="AF3" s="15"/>
      <c r="AG3" s="27" t="s">
        <v>54</v>
      </c>
      <c r="AH3" s="27" t="s">
        <v>55</v>
      </c>
      <c r="AI3" s="27"/>
      <c r="AJ3" s="28"/>
      <c r="AK3" s="29"/>
      <c r="AL3" s="30"/>
      <c r="AM3" s="31"/>
      <c r="AN3" s="32"/>
      <c r="AO3" s="27"/>
      <c r="AP3" s="33"/>
      <c r="AQ3" s="34"/>
      <c r="AR3" s="35" t="s">
        <v>56</v>
      </c>
      <c r="AS3" s="36"/>
      <c r="AT3" s="31" t="s">
        <v>57</v>
      </c>
    </row>
    <row r="4" spans="1:46" ht="56.25" x14ac:dyDescent="0.25">
      <c r="A4" s="14" t="s">
        <v>58</v>
      </c>
      <c r="B4" s="15" t="s">
        <v>45</v>
      </c>
      <c r="C4" s="15" t="s">
        <v>46</v>
      </c>
      <c r="D4" s="15" t="s">
        <v>47</v>
      </c>
      <c r="E4" s="14" t="s">
        <v>48</v>
      </c>
      <c r="F4" s="16" t="s">
        <v>49</v>
      </c>
      <c r="G4" s="15"/>
      <c r="H4" s="15"/>
      <c r="I4" s="18" t="s">
        <v>50</v>
      </c>
      <c r="J4" s="15"/>
      <c r="K4" s="15"/>
      <c r="L4" s="15"/>
      <c r="M4" s="19"/>
      <c r="N4" s="20"/>
      <c r="O4" s="20"/>
      <c r="P4" s="21">
        <v>11200000</v>
      </c>
      <c r="Q4" s="21">
        <f t="shared" ref="Q4:Q78" si="0">M4+P4</f>
        <v>11200000</v>
      </c>
      <c r="R4" s="22"/>
      <c r="S4" s="23">
        <f t="shared" ref="S4:S78" si="1">Q4-R4</f>
        <v>11200000</v>
      </c>
      <c r="T4" s="23"/>
      <c r="U4" s="24"/>
      <c r="V4" s="24"/>
      <c r="W4" s="37"/>
      <c r="X4" s="37"/>
      <c r="Y4" s="37"/>
      <c r="Z4" s="38">
        <v>43389</v>
      </c>
      <c r="AA4" s="38"/>
      <c r="AB4" s="15" t="s">
        <v>51</v>
      </c>
      <c r="AC4" s="26">
        <v>43424</v>
      </c>
      <c r="AD4" s="26" t="s">
        <v>52</v>
      </c>
      <c r="AE4" s="26" t="s">
        <v>53</v>
      </c>
      <c r="AF4" s="15"/>
      <c r="AG4" s="27" t="s">
        <v>54</v>
      </c>
      <c r="AH4" s="39" t="s">
        <v>55</v>
      </c>
      <c r="AI4" s="27"/>
      <c r="AJ4" s="29"/>
      <c r="AK4" s="29"/>
      <c r="AL4" s="30"/>
      <c r="AM4" s="31"/>
      <c r="AN4" s="32"/>
      <c r="AO4" s="27"/>
      <c r="AP4" s="33"/>
      <c r="AQ4" s="34"/>
      <c r="AR4" s="35">
        <v>4300001447</v>
      </c>
      <c r="AS4" s="36"/>
      <c r="AT4" s="31" t="s">
        <v>57</v>
      </c>
    </row>
    <row r="5" spans="1:46" ht="45" x14ac:dyDescent="0.25">
      <c r="A5" s="14" t="s">
        <v>59</v>
      </c>
      <c r="B5" s="15" t="s">
        <v>45</v>
      </c>
      <c r="C5" s="40" t="s">
        <v>60</v>
      </c>
      <c r="D5" s="40" t="s">
        <v>47</v>
      </c>
      <c r="E5" s="14" t="s">
        <v>48</v>
      </c>
      <c r="F5" s="16" t="s">
        <v>61</v>
      </c>
      <c r="G5" s="17">
        <v>14876557</v>
      </c>
      <c r="H5" s="17"/>
      <c r="I5" s="18" t="s">
        <v>62</v>
      </c>
      <c r="J5" s="15"/>
      <c r="K5" s="15"/>
      <c r="L5" s="15"/>
      <c r="M5" s="41">
        <v>56000000</v>
      </c>
      <c r="N5" s="20"/>
      <c r="O5" s="20"/>
      <c r="P5" s="21"/>
      <c r="Q5" s="21">
        <f t="shared" si="0"/>
        <v>56000000</v>
      </c>
      <c r="R5" s="22"/>
      <c r="S5" s="23">
        <f t="shared" si="1"/>
        <v>56000000</v>
      </c>
      <c r="T5" s="23"/>
      <c r="U5" s="42">
        <v>43115</v>
      </c>
      <c r="V5" s="42"/>
      <c r="W5" s="43">
        <v>43359</v>
      </c>
      <c r="X5" s="43"/>
      <c r="Y5" s="43"/>
      <c r="Z5" s="25"/>
      <c r="AA5" s="25"/>
      <c r="AB5" s="15" t="s">
        <v>51</v>
      </c>
      <c r="AC5" s="26">
        <v>43377</v>
      </c>
      <c r="AD5" s="26" t="s">
        <v>52</v>
      </c>
      <c r="AE5" s="26" t="s">
        <v>53</v>
      </c>
      <c r="AF5" s="15"/>
      <c r="AG5" s="44" t="s">
        <v>54</v>
      </c>
      <c r="AH5" s="44"/>
      <c r="AI5" s="44"/>
      <c r="AJ5" s="28"/>
      <c r="AK5" s="29"/>
      <c r="AL5" s="30"/>
      <c r="AM5" s="31"/>
      <c r="AN5" s="32"/>
      <c r="AO5" s="27"/>
      <c r="AP5" s="33"/>
      <c r="AQ5" s="34"/>
      <c r="AR5" s="45" t="s">
        <v>63</v>
      </c>
      <c r="AS5" s="46"/>
      <c r="AT5" s="47"/>
    </row>
    <row r="6" spans="1:46" ht="45" x14ac:dyDescent="0.25">
      <c r="A6" s="14" t="s">
        <v>64</v>
      </c>
      <c r="B6" s="15" t="s">
        <v>45</v>
      </c>
      <c r="C6" s="40" t="s">
        <v>65</v>
      </c>
      <c r="D6" s="40" t="s">
        <v>47</v>
      </c>
      <c r="E6" s="14" t="s">
        <v>66</v>
      </c>
      <c r="F6" s="16" t="s">
        <v>67</v>
      </c>
      <c r="G6" s="17">
        <v>9089402</v>
      </c>
      <c r="H6" s="17"/>
      <c r="I6" s="18" t="s">
        <v>68</v>
      </c>
      <c r="J6" s="15"/>
      <c r="K6" s="15"/>
      <c r="L6" s="15"/>
      <c r="M6" s="41">
        <v>56000000</v>
      </c>
      <c r="N6" s="20"/>
      <c r="O6" s="20"/>
      <c r="P6" s="21"/>
      <c r="Q6" s="21">
        <f t="shared" si="0"/>
        <v>56000000</v>
      </c>
      <c r="R6" s="22"/>
      <c r="S6" s="23">
        <f t="shared" si="1"/>
        <v>56000000</v>
      </c>
      <c r="T6" s="23"/>
      <c r="U6" s="42">
        <v>43115</v>
      </c>
      <c r="V6" s="42"/>
      <c r="W6" s="43">
        <v>43359</v>
      </c>
      <c r="X6" s="43"/>
      <c r="Y6" s="43"/>
      <c r="Z6" s="25"/>
      <c r="AA6" s="25"/>
      <c r="AB6" s="15" t="s">
        <v>51</v>
      </c>
      <c r="AC6" s="26">
        <v>43434</v>
      </c>
      <c r="AD6" s="26" t="s">
        <v>52</v>
      </c>
      <c r="AE6" s="26" t="s">
        <v>53</v>
      </c>
      <c r="AF6" s="15"/>
      <c r="AG6" s="44" t="s">
        <v>54</v>
      </c>
      <c r="AH6" s="44"/>
      <c r="AI6" s="44"/>
      <c r="AJ6" s="28"/>
      <c r="AK6" s="29"/>
      <c r="AL6" s="30"/>
      <c r="AM6" s="31"/>
      <c r="AN6" s="32"/>
      <c r="AO6" s="27"/>
      <c r="AP6" s="33"/>
      <c r="AQ6" s="34"/>
      <c r="AR6" s="45" t="s">
        <v>69</v>
      </c>
      <c r="AS6" s="46"/>
      <c r="AT6" s="47"/>
    </row>
    <row r="7" spans="1:46" ht="45" x14ac:dyDescent="0.25">
      <c r="A7" s="14" t="s">
        <v>70</v>
      </c>
      <c r="B7" s="15" t="s">
        <v>45</v>
      </c>
      <c r="C7" s="40" t="s">
        <v>65</v>
      </c>
      <c r="D7" s="40" t="s">
        <v>47</v>
      </c>
      <c r="E7" s="14" t="s">
        <v>48</v>
      </c>
      <c r="F7" s="16" t="s">
        <v>71</v>
      </c>
      <c r="G7" s="17">
        <v>41649134</v>
      </c>
      <c r="H7" s="17"/>
      <c r="I7" s="18" t="s">
        <v>72</v>
      </c>
      <c r="J7" s="15"/>
      <c r="K7" s="15"/>
      <c r="L7" s="15"/>
      <c r="M7" s="41">
        <v>68000000</v>
      </c>
      <c r="N7" s="20"/>
      <c r="O7" s="20"/>
      <c r="P7" s="21"/>
      <c r="Q7" s="21">
        <f t="shared" si="0"/>
        <v>68000000</v>
      </c>
      <c r="R7" s="22"/>
      <c r="S7" s="23">
        <f t="shared" si="1"/>
        <v>68000000</v>
      </c>
      <c r="T7" s="23"/>
      <c r="U7" s="42">
        <v>43115</v>
      </c>
      <c r="V7" s="42"/>
      <c r="W7" s="43">
        <v>43366</v>
      </c>
      <c r="X7" s="43"/>
      <c r="Y7" s="43"/>
      <c r="Z7" s="25"/>
      <c r="AA7" s="25"/>
      <c r="AB7" s="15" t="s">
        <v>51</v>
      </c>
      <c r="AC7" s="26">
        <v>43405</v>
      </c>
      <c r="AD7" s="26" t="s">
        <v>52</v>
      </c>
      <c r="AE7" s="26" t="s">
        <v>53</v>
      </c>
      <c r="AF7" s="15"/>
      <c r="AG7" s="44" t="s">
        <v>54</v>
      </c>
      <c r="AH7" s="44"/>
      <c r="AI7" s="44"/>
      <c r="AJ7" s="28"/>
      <c r="AK7" s="29"/>
      <c r="AL7" s="30"/>
      <c r="AM7" s="31"/>
      <c r="AN7" s="32"/>
      <c r="AO7" s="27"/>
      <c r="AP7" s="33"/>
      <c r="AQ7" s="34"/>
      <c r="AR7" s="45" t="s">
        <v>73</v>
      </c>
      <c r="AS7" s="46"/>
      <c r="AT7" s="47" t="s">
        <v>74</v>
      </c>
    </row>
    <row r="8" spans="1:46" ht="45" x14ac:dyDescent="0.25">
      <c r="A8" s="14" t="s">
        <v>75</v>
      </c>
      <c r="B8" s="15" t="s">
        <v>45</v>
      </c>
      <c r="C8" s="40" t="s">
        <v>76</v>
      </c>
      <c r="D8" s="40" t="s">
        <v>47</v>
      </c>
      <c r="E8" s="14" t="s">
        <v>48</v>
      </c>
      <c r="F8" s="16" t="s">
        <v>77</v>
      </c>
      <c r="G8" s="17">
        <v>3021952</v>
      </c>
      <c r="H8" s="17"/>
      <c r="I8" s="18" t="s">
        <v>78</v>
      </c>
      <c r="J8" s="15"/>
      <c r="K8" s="15"/>
      <c r="L8" s="15"/>
      <c r="M8" s="41">
        <v>68000000</v>
      </c>
      <c r="N8" s="20"/>
      <c r="O8" s="20"/>
      <c r="P8" s="48">
        <v>0</v>
      </c>
      <c r="Q8" s="21">
        <f t="shared" si="0"/>
        <v>68000000</v>
      </c>
      <c r="R8" s="22"/>
      <c r="S8" s="23">
        <f t="shared" si="1"/>
        <v>68000000</v>
      </c>
      <c r="T8" s="23"/>
      <c r="U8" s="42">
        <v>43115</v>
      </c>
      <c r="V8" s="42"/>
      <c r="W8" s="43">
        <v>43362</v>
      </c>
      <c r="X8" s="43"/>
      <c r="Y8" s="43"/>
      <c r="Z8" s="25"/>
      <c r="AA8" s="25"/>
      <c r="AB8" s="15" t="s">
        <v>51</v>
      </c>
      <c r="AC8" s="26">
        <v>43523</v>
      </c>
      <c r="AD8" s="26" t="s">
        <v>52</v>
      </c>
      <c r="AE8" s="26" t="s">
        <v>79</v>
      </c>
      <c r="AF8" s="15"/>
      <c r="AG8" s="44" t="s">
        <v>54</v>
      </c>
      <c r="AH8" s="44"/>
      <c r="AI8" s="44"/>
      <c r="AJ8" s="28"/>
      <c r="AK8" s="29"/>
      <c r="AL8" s="30"/>
      <c r="AM8" s="31"/>
      <c r="AN8" s="32"/>
      <c r="AO8" s="27"/>
      <c r="AP8" s="33"/>
      <c r="AQ8" s="34"/>
      <c r="AR8" s="45" t="s">
        <v>80</v>
      </c>
      <c r="AS8" s="46"/>
      <c r="AT8" s="47"/>
    </row>
    <row r="9" spans="1:46" ht="45" x14ac:dyDescent="0.25">
      <c r="A9" s="14" t="s">
        <v>81</v>
      </c>
      <c r="B9" s="15" t="s">
        <v>45</v>
      </c>
      <c r="C9" s="40" t="s">
        <v>82</v>
      </c>
      <c r="D9" s="40" t="s">
        <v>47</v>
      </c>
      <c r="E9" s="14" t="s">
        <v>48</v>
      </c>
      <c r="F9" s="16" t="s">
        <v>77</v>
      </c>
      <c r="G9" s="17">
        <v>3021952</v>
      </c>
      <c r="H9" s="17"/>
      <c r="I9" s="18" t="s">
        <v>78</v>
      </c>
      <c r="J9" s="15"/>
      <c r="K9" s="15"/>
      <c r="L9" s="15"/>
      <c r="M9" s="41"/>
      <c r="N9" s="20"/>
      <c r="O9" s="20"/>
      <c r="P9" s="21">
        <v>23233333</v>
      </c>
      <c r="Q9" s="21">
        <f>+P9</f>
        <v>23233333</v>
      </c>
      <c r="R9" s="22"/>
      <c r="S9" s="23">
        <f t="shared" si="1"/>
        <v>23233333</v>
      </c>
      <c r="T9" s="23"/>
      <c r="U9" s="42"/>
      <c r="V9" s="42"/>
      <c r="W9" s="43"/>
      <c r="X9" s="43"/>
      <c r="Y9" s="43"/>
      <c r="Z9" s="25">
        <v>43445</v>
      </c>
      <c r="AA9" s="25"/>
      <c r="AB9" s="15" t="s">
        <v>51</v>
      </c>
      <c r="AC9" s="26">
        <v>43523</v>
      </c>
      <c r="AD9" s="26"/>
      <c r="AE9" s="26" t="s">
        <v>79</v>
      </c>
      <c r="AF9" s="15"/>
      <c r="AG9" s="44" t="s">
        <v>54</v>
      </c>
      <c r="AH9" s="44"/>
      <c r="AI9" s="44"/>
      <c r="AJ9" s="28"/>
      <c r="AK9" s="29"/>
      <c r="AL9" s="30"/>
      <c r="AM9" s="31"/>
      <c r="AN9" s="32"/>
      <c r="AO9" s="27"/>
      <c r="AP9" s="33"/>
      <c r="AQ9" s="34"/>
      <c r="AR9" s="45">
        <v>4300001550</v>
      </c>
      <c r="AS9" s="46"/>
      <c r="AT9" s="47"/>
    </row>
    <row r="10" spans="1:46" ht="56.25" x14ac:dyDescent="0.25">
      <c r="A10" s="14" t="s">
        <v>83</v>
      </c>
      <c r="B10" s="15" t="s">
        <v>45</v>
      </c>
      <c r="C10" s="15" t="s">
        <v>84</v>
      </c>
      <c r="D10" s="15" t="s">
        <v>47</v>
      </c>
      <c r="E10" s="15" t="s">
        <v>85</v>
      </c>
      <c r="F10" s="16" t="s">
        <v>86</v>
      </c>
      <c r="G10" s="17">
        <v>19498285</v>
      </c>
      <c r="H10" s="17"/>
      <c r="I10" s="49" t="s">
        <v>87</v>
      </c>
      <c r="J10" s="15"/>
      <c r="K10" s="15"/>
      <c r="L10" s="15"/>
      <c r="M10" s="22">
        <v>14800000</v>
      </c>
      <c r="N10" s="50">
        <v>8918</v>
      </c>
      <c r="O10" s="50"/>
      <c r="P10" s="51">
        <v>0</v>
      </c>
      <c r="Q10" s="21">
        <f>M10+P10</f>
        <v>14800000</v>
      </c>
      <c r="R10" s="22">
        <v>14800000</v>
      </c>
      <c r="S10" s="23">
        <f t="shared" si="1"/>
        <v>0</v>
      </c>
      <c r="T10" s="23" t="s">
        <v>88</v>
      </c>
      <c r="U10" s="26">
        <v>43117</v>
      </c>
      <c r="V10" s="26">
        <v>43117</v>
      </c>
      <c r="W10" s="25">
        <v>43237</v>
      </c>
      <c r="X10" s="25"/>
      <c r="Y10" s="25">
        <v>43373</v>
      </c>
      <c r="Z10" s="25" t="s">
        <v>89</v>
      </c>
      <c r="AA10" s="25"/>
      <c r="AB10" s="15" t="s">
        <v>51</v>
      </c>
      <c r="AC10" s="26">
        <v>43525</v>
      </c>
      <c r="AD10" s="26" t="s">
        <v>52</v>
      </c>
      <c r="AE10" s="26" t="s">
        <v>52</v>
      </c>
      <c r="AF10" s="15" t="s">
        <v>90</v>
      </c>
      <c r="AG10" s="27" t="s">
        <v>54</v>
      </c>
      <c r="AH10" s="27" t="s">
        <v>91</v>
      </c>
      <c r="AI10" s="27" t="s">
        <v>92</v>
      </c>
      <c r="AJ10" s="28" t="s">
        <v>93</v>
      </c>
      <c r="AK10" s="29" t="s">
        <v>94</v>
      </c>
      <c r="AL10" s="30">
        <v>43117</v>
      </c>
      <c r="AM10" s="27" t="s">
        <v>95</v>
      </c>
      <c r="AN10" s="32" t="s">
        <v>96</v>
      </c>
      <c r="AO10" s="27" t="s">
        <v>97</v>
      </c>
      <c r="AP10" s="33">
        <v>0.2</v>
      </c>
      <c r="AQ10" s="52">
        <v>2960000</v>
      </c>
      <c r="AR10" s="35" t="s">
        <v>98</v>
      </c>
      <c r="AS10" s="27" t="s">
        <v>51</v>
      </c>
      <c r="AT10" s="31" t="s">
        <v>99</v>
      </c>
    </row>
    <row r="11" spans="1:46" ht="56.25" x14ac:dyDescent="0.25">
      <c r="A11" s="14" t="s">
        <v>100</v>
      </c>
      <c r="B11" s="15"/>
      <c r="C11" s="15" t="s">
        <v>101</v>
      </c>
      <c r="D11" s="15" t="s">
        <v>102</v>
      </c>
      <c r="E11" s="14" t="s">
        <v>48</v>
      </c>
      <c r="F11" s="16" t="s">
        <v>103</v>
      </c>
      <c r="G11" s="17">
        <v>830084433</v>
      </c>
      <c r="H11" s="17">
        <v>7</v>
      </c>
      <c r="I11" s="18" t="s">
        <v>104</v>
      </c>
      <c r="J11" s="15"/>
      <c r="K11" s="15"/>
      <c r="L11" s="15"/>
      <c r="M11" s="19">
        <v>20000000</v>
      </c>
      <c r="N11" s="20"/>
      <c r="O11" s="20"/>
      <c r="P11" s="48">
        <v>0</v>
      </c>
      <c r="Q11" s="21">
        <f t="shared" si="0"/>
        <v>20000000</v>
      </c>
      <c r="R11" s="22"/>
      <c r="S11" s="23">
        <f t="shared" si="1"/>
        <v>20000000</v>
      </c>
      <c r="T11" s="23"/>
      <c r="U11" s="24">
        <v>43118</v>
      </c>
      <c r="V11" s="24"/>
      <c r="W11" s="25">
        <v>43449</v>
      </c>
      <c r="X11" s="25"/>
      <c r="Y11" s="25"/>
      <c r="Z11" s="25"/>
      <c r="AA11" s="25"/>
      <c r="AB11" s="15" t="s">
        <v>51</v>
      </c>
      <c r="AC11" s="26">
        <v>43563</v>
      </c>
      <c r="AD11" s="26" t="s">
        <v>52</v>
      </c>
      <c r="AE11" s="26" t="s">
        <v>79</v>
      </c>
      <c r="AF11" s="15"/>
      <c r="AG11" s="27" t="s">
        <v>54</v>
      </c>
      <c r="AH11" s="27"/>
      <c r="AI11" s="27"/>
      <c r="AJ11" s="28"/>
      <c r="AK11" s="29"/>
      <c r="AL11" s="30"/>
      <c r="AM11" s="31"/>
      <c r="AN11" s="32"/>
      <c r="AO11" s="27"/>
      <c r="AP11" s="33"/>
      <c r="AQ11" s="34"/>
      <c r="AR11" s="53" t="s">
        <v>105</v>
      </c>
      <c r="AS11" s="36"/>
      <c r="AT11" s="31" t="s">
        <v>106</v>
      </c>
    </row>
    <row r="12" spans="1:46" ht="15" x14ac:dyDescent="0.25">
      <c r="A12" s="14" t="s">
        <v>107</v>
      </c>
      <c r="B12" s="15" t="s">
        <v>108</v>
      </c>
      <c r="C12" s="54"/>
      <c r="D12" s="15"/>
      <c r="E12" s="15" t="s">
        <v>109</v>
      </c>
      <c r="F12" s="16" t="s">
        <v>110</v>
      </c>
      <c r="G12" s="17"/>
      <c r="H12" s="17"/>
      <c r="I12" s="18" t="s">
        <v>111</v>
      </c>
      <c r="J12" s="15"/>
      <c r="K12" s="15"/>
      <c r="L12" s="15"/>
      <c r="M12" s="19"/>
      <c r="N12" s="20"/>
      <c r="O12" s="20"/>
      <c r="P12" s="21"/>
      <c r="Q12" s="21">
        <f t="shared" si="0"/>
        <v>0</v>
      </c>
      <c r="R12" s="22"/>
      <c r="S12" s="23">
        <f t="shared" si="1"/>
        <v>0</v>
      </c>
      <c r="T12" s="23"/>
      <c r="U12" s="26"/>
      <c r="V12" s="26"/>
      <c r="W12" s="25">
        <v>43465</v>
      </c>
      <c r="X12" s="25"/>
      <c r="Y12" s="25"/>
      <c r="Z12" s="25"/>
      <c r="AA12" s="25"/>
      <c r="AB12" s="15" t="s">
        <v>51</v>
      </c>
      <c r="AC12" s="26">
        <v>43542</v>
      </c>
      <c r="AD12" s="26"/>
      <c r="AE12" s="26"/>
      <c r="AF12" s="15"/>
      <c r="AG12" s="27"/>
      <c r="AH12" s="27"/>
      <c r="AI12" s="27"/>
      <c r="AJ12" s="28"/>
      <c r="AK12" s="29"/>
      <c r="AL12" s="30"/>
      <c r="AM12" s="31"/>
      <c r="AN12" s="32"/>
      <c r="AO12" s="27"/>
      <c r="AP12" s="33"/>
      <c r="AQ12" s="34"/>
      <c r="AR12" s="35" t="s">
        <v>112</v>
      </c>
      <c r="AS12" s="36"/>
      <c r="AT12" s="31"/>
    </row>
    <row r="13" spans="1:46" ht="15" x14ac:dyDescent="0.25">
      <c r="A13" s="14" t="s">
        <v>113</v>
      </c>
      <c r="B13" s="15" t="s">
        <v>108</v>
      </c>
      <c r="C13" s="54"/>
      <c r="D13" s="15"/>
      <c r="E13" s="15" t="s">
        <v>114</v>
      </c>
      <c r="F13" s="16" t="s">
        <v>115</v>
      </c>
      <c r="G13" s="17"/>
      <c r="H13" s="17"/>
      <c r="I13" s="18" t="s">
        <v>116</v>
      </c>
      <c r="J13" s="15"/>
      <c r="K13" s="15"/>
      <c r="L13" s="15"/>
      <c r="M13" s="19"/>
      <c r="N13" s="20"/>
      <c r="O13" s="20"/>
      <c r="P13" s="21"/>
      <c r="Q13" s="21">
        <f t="shared" si="0"/>
        <v>0</v>
      </c>
      <c r="R13" s="22"/>
      <c r="S13" s="23">
        <f t="shared" si="1"/>
        <v>0</v>
      </c>
      <c r="T13" s="23"/>
      <c r="U13" s="26"/>
      <c r="V13" s="26"/>
      <c r="W13" s="25">
        <v>43465</v>
      </c>
      <c r="X13" s="25"/>
      <c r="Y13" s="25"/>
      <c r="Z13" s="25"/>
      <c r="AA13" s="25"/>
      <c r="AB13" s="15" t="s">
        <v>51</v>
      </c>
      <c r="AC13" s="26">
        <v>43560</v>
      </c>
      <c r="AD13" s="26"/>
      <c r="AE13" s="26"/>
      <c r="AF13" s="15"/>
      <c r="AG13" s="27"/>
      <c r="AH13" s="27"/>
      <c r="AI13" s="27"/>
      <c r="AJ13" s="28"/>
      <c r="AK13" s="29"/>
      <c r="AL13" s="30"/>
      <c r="AM13" s="31"/>
      <c r="AN13" s="32"/>
      <c r="AO13" s="27"/>
      <c r="AP13" s="33"/>
      <c r="AQ13" s="34"/>
      <c r="AR13" s="35" t="s">
        <v>117</v>
      </c>
      <c r="AS13" s="36"/>
      <c r="AT13" s="31"/>
    </row>
    <row r="14" spans="1:46" ht="45" x14ac:dyDescent="0.25">
      <c r="A14" s="14" t="s">
        <v>118</v>
      </c>
      <c r="B14" s="15" t="s">
        <v>45</v>
      </c>
      <c r="C14" s="15" t="s">
        <v>119</v>
      </c>
      <c r="D14" s="15" t="s">
        <v>47</v>
      </c>
      <c r="E14" s="15" t="s">
        <v>120</v>
      </c>
      <c r="F14" s="16" t="s">
        <v>121</v>
      </c>
      <c r="G14" s="17">
        <v>33376316</v>
      </c>
      <c r="H14" s="17"/>
      <c r="I14" s="18" t="s">
        <v>122</v>
      </c>
      <c r="J14" s="15" t="s">
        <v>123</v>
      </c>
      <c r="K14" s="15" t="s">
        <v>124</v>
      </c>
      <c r="L14" s="26">
        <v>43281</v>
      </c>
      <c r="M14" s="55">
        <v>18000000</v>
      </c>
      <c r="N14" s="50">
        <v>10118</v>
      </c>
      <c r="O14" s="50"/>
      <c r="P14" s="21">
        <v>0</v>
      </c>
      <c r="Q14" s="21">
        <f t="shared" si="0"/>
        <v>18000000</v>
      </c>
      <c r="R14" s="55">
        <v>18000000</v>
      </c>
      <c r="S14" s="23">
        <f t="shared" si="1"/>
        <v>0</v>
      </c>
      <c r="T14" s="21">
        <v>0</v>
      </c>
      <c r="U14" s="26">
        <v>43126</v>
      </c>
      <c r="V14" s="26">
        <v>43126</v>
      </c>
      <c r="W14" s="26">
        <v>43257</v>
      </c>
      <c r="X14" s="26"/>
      <c r="Y14" s="42"/>
      <c r="Z14" s="37"/>
      <c r="AA14" s="37"/>
      <c r="AB14" s="15" t="s">
        <v>51</v>
      </c>
      <c r="AC14" s="26">
        <v>43360</v>
      </c>
      <c r="AD14" s="26" t="s">
        <v>52</v>
      </c>
      <c r="AE14" s="26" t="s">
        <v>53</v>
      </c>
      <c r="AF14" s="15"/>
      <c r="AG14" s="27" t="s">
        <v>54</v>
      </c>
      <c r="AH14" s="27" t="s">
        <v>125</v>
      </c>
      <c r="AI14" s="56"/>
      <c r="AJ14" s="28">
        <v>1022327</v>
      </c>
      <c r="AK14" s="29" t="s">
        <v>126</v>
      </c>
      <c r="AL14" s="29">
        <v>43137</v>
      </c>
      <c r="AM14" s="31" t="s">
        <v>127</v>
      </c>
      <c r="AN14" s="31" t="s">
        <v>128</v>
      </c>
      <c r="AO14" s="57" t="s">
        <v>129</v>
      </c>
      <c r="AP14" s="33">
        <v>0.2</v>
      </c>
      <c r="AQ14" s="58">
        <v>3600000</v>
      </c>
      <c r="AR14" s="35" t="s">
        <v>130</v>
      </c>
      <c r="AS14" s="59" t="s">
        <v>131</v>
      </c>
      <c r="AT14" s="31" t="s">
        <v>132</v>
      </c>
    </row>
    <row r="15" spans="1:46" ht="45" x14ac:dyDescent="0.25">
      <c r="A15" s="14" t="s">
        <v>133</v>
      </c>
      <c r="B15" s="15" t="s">
        <v>45</v>
      </c>
      <c r="C15" s="15" t="s">
        <v>134</v>
      </c>
      <c r="D15" s="15" t="s">
        <v>102</v>
      </c>
      <c r="E15" s="15" t="s">
        <v>66</v>
      </c>
      <c r="F15" s="16" t="s">
        <v>135</v>
      </c>
      <c r="G15" s="17">
        <v>860006543</v>
      </c>
      <c r="H15" s="17">
        <v>5</v>
      </c>
      <c r="I15" s="18" t="s">
        <v>136</v>
      </c>
      <c r="J15" s="15"/>
      <c r="K15" s="15"/>
      <c r="L15" s="15"/>
      <c r="M15" s="19">
        <v>120000000</v>
      </c>
      <c r="N15" s="20"/>
      <c r="O15" s="20"/>
      <c r="P15" s="48">
        <v>0</v>
      </c>
      <c r="Q15" s="21">
        <f t="shared" si="0"/>
        <v>120000000</v>
      </c>
      <c r="R15" s="22"/>
      <c r="S15" s="23">
        <f t="shared" si="1"/>
        <v>120000000</v>
      </c>
      <c r="T15" s="23"/>
      <c r="U15" s="24">
        <v>43126</v>
      </c>
      <c r="V15" s="24"/>
      <c r="W15" s="25">
        <v>43434</v>
      </c>
      <c r="X15" s="25"/>
      <c r="Y15" s="25">
        <f>Z15+120</f>
        <v>43584</v>
      </c>
      <c r="Z15" s="25">
        <v>43464</v>
      </c>
      <c r="AA15" s="25"/>
      <c r="AB15" s="15" t="s">
        <v>51</v>
      </c>
      <c r="AC15" s="26">
        <v>43517</v>
      </c>
      <c r="AD15" s="26"/>
      <c r="AE15" s="26"/>
      <c r="AF15" s="15"/>
      <c r="AG15" s="27" t="s">
        <v>137</v>
      </c>
      <c r="AH15" s="27"/>
      <c r="AI15" s="27"/>
      <c r="AJ15" s="28"/>
      <c r="AK15" s="29"/>
      <c r="AL15" s="30"/>
      <c r="AM15" s="31"/>
      <c r="AN15" s="32"/>
      <c r="AO15" s="27"/>
      <c r="AP15" s="33"/>
      <c r="AQ15" s="34"/>
      <c r="AR15" s="35" t="s">
        <v>138</v>
      </c>
      <c r="AS15" s="36"/>
      <c r="AT15" s="31"/>
    </row>
    <row r="16" spans="1:46" ht="45" x14ac:dyDescent="0.25">
      <c r="A16" s="14" t="s">
        <v>139</v>
      </c>
      <c r="B16" s="15" t="s">
        <v>45</v>
      </c>
      <c r="C16" s="40" t="s">
        <v>140</v>
      </c>
      <c r="D16" s="40" t="s">
        <v>47</v>
      </c>
      <c r="E16" s="14" t="s">
        <v>48</v>
      </c>
      <c r="F16" s="16" t="s">
        <v>141</v>
      </c>
      <c r="G16" s="17">
        <v>1075272235</v>
      </c>
      <c r="H16" s="17"/>
      <c r="I16" s="18" t="s">
        <v>142</v>
      </c>
      <c r="J16" s="15"/>
      <c r="K16" s="15"/>
      <c r="L16" s="15"/>
      <c r="M16" s="41">
        <v>7500000</v>
      </c>
      <c r="N16" s="20"/>
      <c r="O16" s="20"/>
      <c r="P16" s="21"/>
      <c r="Q16" s="21">
        <f t="shared" si="0"/>
        <v>7500000</v>
      </c>
      <c r="R16" s="22"/>
      <c r="S16" s="23">
        <f t="shared" si="1"/>
        <v>7500000</v>
      </c>
      <c r="T16" s="23"/>
      <c r="U16" s="42">
        <v>43126</v>
      </c>
      <c r="V16" s="42"/>
      <c r="W16" s="26">
        <v>43226</v>
      </c>
      <c r="X16" s="60"/>
      <c r="Y16" s="60"/>
      <c r="Z16" s="25"/>
      <c r="AA16" s="25"/>
      <c r="AB16" s="15" t="s">
        <v>51</v>
      </c>
      <c r="AC16" s="26">
        <v>43322</v>
      </c>
      <c r="AD16" s="26" t="s">
        <v>52</v>
      </c>
      <c r="AE16" s="26" t="s">
        <v>53</v>
      </c>
      <c r="AF16" s="15"/>
      <c r="AG16" s="44" t="s">
        <v>54</v>
      </c>
      <c r="AH16" s="44"/>
      <c r="AI16" s="44"/>
      <c r="AJ16" s="28"/>
      <c r="AK16" s="29"/>
      <c r="AL16" s="29"/>
      <c r="AM16" s="31"/>
      <c r="AN16" s="31"/>
      <c r="AO16" s="27"/>
      <c r="AP16" s="31"/>
      <c r="AQ16" s="61"/>
      <c r="AR16" s="45" t="s">
        <v>143</v>
      </c>
      <c r="AS16" s="46"/>
      <c r="AT16" s="31"/>
    </row>
    <row r="17" spans="1:46" ht="45" x14ac:dyDescent="0.25">
      <c r="A17" s="14" t="s">
        <v>144</v>
      </c>
      <c r="B17" s="15" t="s">
        <v>45</v>
      </c>
      <c r="C17" s="15" t="s">
        <v>145</v>
      </c>
      <c r="D17" s="15" t="s">
        <v>47</v>
      </c>
      <c r="E17" s="15" t="s">
        <v>120</v>
      </c>
      <c r="F17" s="16" t="s">
        <v>146</v>
      </c>
      <c r="G17" s="17">
        <v>4922142</v>
      </c>
      <c r="H17" s="17"/>
      <c r="I17" s="18" t="s">
        <v>147</v>
      </c>
      <c r="J17" s="15" t="s">
        <v>123</v>
      </c>
      <c r="K17" s="15" t="s">
        <v>124</v>
      </c>
      <c r="L17" s="26">
        <v>43281</v>
      </c>
      <c r="M17" s="55">
        <v>14800000</v>
      </c>
      <c r="N17" s="62"/>
      <c r="O17" s="62"/>
      <c r="P17" s="21">
        <v>0</v>
      </c>
      <c r="Q17" s="21">
        <f t="shared" si="0"/>
        <v>14800000</v>
      </c>
      <c r="R17" s="63">
        <f>2343333+1356667</f>
        <v>3700000</v>
      </c>
      <c r="S17" s="23"/>
      <c r="T17" s="21">
        <v>11000000</v>
      </c>
      <c r="U17" s="26">
        <v>43126</v>
      </c>
      <c r="V17" s="26">
        <v>43126</v>
      </c>
      <c r="W17" s="26">
        <v>43263</v>
      </c>
      <c r="X17" s="26"/>
      <c r="Y17" s="42"/>
      <c r="Z17" s="37"/>
      <c r="AA17" s="37"/>
      <c r="AB17" s="15" t="s">
        <v>51</v>
      </c>
      <c r="AC17" s="26">
        <v>43170</v>
      </c>
      <c r="AD17" s="26" t="s">
        <v>52</v>
      </c>
      <c r="AE17" s="26" t="s">
        <v>53</v>
      </c>
      <c r="AF17" s="15"/>
      <c r="AG17" s="27" t="s">
        <v>54</v>
      </c>
      <c r="AH17" s="27" t="s">
        <v>125</v>
      </c>
      <c r="AI17" s="56"/>
      <c r="AJ17" s="28">
        <v>1022327</v>
      </c>
      <c r="AK17" s="29" t="s">
        <v>126</v>
      </c>
      <c r="AL17" s="29">
        <v>43143</v>
      </c>
      <c r="AM17" s="31" t="s">
        <v>127</v>
      </c>
      <c r="AN17" s="31" t="s">
        <v>148</v>
      </c>
      <c r="AO17" s="57" t="s">
        <v>129</v>
      </c>
      <c r="AP17" s="33">
        <v>0.2</v>
      </c>
      <c r="AQ17" s="58">
        <v>2960000</v>
      </c>
      <c r="AR17" s="35" t="s">
        <v>149</v>
      </c>
      <c r="AS17" s="59" t="s">
        <v>131</v>
      </c>
      <c r="AT17" s="31" t="s">
        <v>150</v>
      </c>
    </row>
    <row r="18" spans="1:46" ht="33.75" x14ac:dyDescent="0.25">
      <c r="A18" s="14" t="s">
        <v>151</v>
      </c>
      <c r="B18" s="15" t="s">
        <v>45</v>
      </c>
      <c r="C18" s="15" t="s">
        <v>152</v>
      </c>
      <c r="D18" s="15" t="s">
        <v>102</v>
      </c>
      <c r="E18" s="15" t="s">
        <v>153</v>
      </c>
      <c r="F18" s="16" t="s">
        <v>154</v>
      </c>
      <c r="G18" s="17">
        <v>8040028935</v>
      </c>
      <c r="H18" s="17">
        <v>6</v>
      </c>
      <c r="I18" s="18" t="s">
        <v>155</v>
      </c>
      <c r="J18" s="15"/>
      <c r="K18" s="15"/>
      <c r="L18" s="26"/>
      <c r="M18" s="19">
        <v>29612832</v>
      </c>
      <c r="N18" s="20"/>
      <c r="O18" s="20"/>
      <c r="P18" s="48">
        <v>0</v>
      </c>
      <c r="Q18" s="21">
        <f t="shared" si="0"/>
        <v>29612832</v>
      </c>
      <c r="R18" s="22"/>
      <c r="S18" s="23">
        <f t="shared" si="1"/>
        <v>29612832</v>
      </c>
      <c r="T18" s="23"/>
      <c r="U18" s="24">
        <v>43126</v>
      </c>
      <c r="V18" s="24"/>
      <c r="W18" s="25">
        <v>43444</v>
      </c>
      <c r="X18" s="25"/>
      <c r="Y18" s="25"/>
      <c r="Z18" s="25"/>
      <c r="AA18" s="25"/>
      <c r="AB18" s="15" t="s">
        <v>51</v>
      </c>
      <c r="AC18" s="26">
        <v>43521</v>
      </c>
      <c r="AD18" s="26" t="s">
        <v>52</v>
      </c>
      <c r="AE18" s="26"/>
      <c r="AF18" s="15"/>
      <c r="AG18" s="27" t="s">
        <v>156</v>
      </c>
      <c r="AH18" s="27"/>
      <c r="AI18" s="27"/>
      <c r="AJ18" s="28"/>
      <c r="AK18" s="29"/>
      <c r="AL18" s="29"/>
      <c r="AM18" s="31"/>
      <c r="AN18" s="32"/>
      <c r="AO18" s="27"/>
      <c r="AP18" s="33"/>
      <c r="AQ18" s="34"/>
      <c r="AR18" s="35" t="s">
        <v>157</v>
      </c>
      <c r="AS18" s="59"/>
      <c r="AT18" s="31" t="s">
        <v>158</v>
      </c>
    </row>
    <row r="19" spans="1:46" ht="22.5" x14ac:dyDescent="0.25">
      <c r="A19" s="14" t="s">
        <v>159</v>
      </c>
      <c r="B19" s="15" t="s">
        <v>45</v>
      </c>
      <c r="C19" s="15" t="s">
        <v>160</v>
      </c>
      <c r="D19" s="15" t="s">
        <v>102</v>
      </c>
      <c r="E19" s="15" t="s">
        <v>161</v>
      </c>
      <c r="F19" s="16" t="s">
        <v>162</v>
      </c>
      <c r="G19" s="17">
        <v>900530858</v>
      </c>
      <c r="H19" s="17">
        <v>0</v>
      </c>
      <c r="I19" s="18" t="s">
        <v>163</v>
      </c>
      <c r="J19" s="15"/>
      <c r="K19" s="15"/>
      <c r="L19" s="26"/>
      <c r="M19" s="19">
        <v>376200000</v>
      </c>
      <c r="N19" s="20"/>
      <c r="O19" s="20"/>
      <c r="P19" s="48">
        <v>0</v>
      </c>
      <c r="Q19" s="21">
        <f t="shared" si="0"/>
        <v>376200000</v>
      </c>
      <c r="R19" s="22"/>
      <c r="S19" s="23">
        <f t="shared" si="1"/>
        <v>376200000</v>
      </c>
      <c r="T19" s="23"/>
      <c r="U19" s="24">
        <v>43126</v>
      </c>
      <c r="V19" s="24"/>
      <c r="W19" s="25">
        <v>43460</v>
      </c>
      <c r="X19" s="25"/>
      <c r="Y19" s="25"/>
      <c r="Z19" s="25"/>
      <c r="AA19" s="25"/>
      <c r="AB19" s="15" t="s">
        <v>51</v>
      </c>
      <c r="AC19" s="26">
        <v>43566</v>
      </c>
      <c r="AD19" s="26" t="s">
        <v>164</v>
      </c>
      <c r="AE19" s="26" t="s">
        <v>53</v>
      </c>
      <c r="AF19" s="15"/>
      <c r="AG19" s="27" t="s">
        <v>137</v>
      </c>
      <c r="AH19" s="27"/>
      <c r="AI19" s="27"/>
      <c r="AJ19" s="28"/>
      <c r="AK19" s="29"/>
      <c r="AL19" s="29"/>
      <c r="AM19" s="31"/>
      <c r="AN19" s="32"/>
      <c r="AO19" s="27"/>
      <c r="AP19" s="33"/>
      <c r="AQ19" s="34"/>
      <c r="AR19" s="35" t="s">
        <v>165</v>
      </c>
      <c r="AS19" s="59"/>
      <c r="AT19" s="31"/>
    </row>
    <row r="20" spans="1:46" ht="22.5" x14ac:dyDescent="0.25">
      <c r="A20" s="14" t="s">
        <v>166</v>
      </c>
      <c r="B20" s="15" t="s">
        <v>45</v>
      </c>
      <c r="C20" s="15" t="s">
        <v>160</v>
      </c>
      <c r="D20" s="15" t="s">
        <v>102</v>
      </c>
      <c r="E20" s="15" t="s">
        <v>161</v>
      </c>
      <c r="F20" s="16" t="s">
        <v>162</v>
      </c>
      <c r="G20" s="17">
        <v>900530858</v>
      </c>
      <c r="H20" s="17">
        <v>0</v>
      </c>
      <c r="I20" s="18" t="s">
        <v>163</v>
      </c>
      <c r="J20" s="15"/>
      <c r="K20" s="15"/>
      <c r="L20" s="26"/>
      <c r="M20" s="19"/>
      <c r="N20" s="20"/>
      <c r="O20" s="20"/>
      <c r="P20" s="21">
        <v>102963471</v>
      </c>
      <c r="Q20" s="21">
        <f>+P20</f>
        <v>102963471</v>
      </c>
      <c r="R20" s="22"/>
      <c r="S20" s="23">
        <f t="shared" si="1"/>
        <v>102963471</v>
      </c>
      <c r="T20" s="23"/>
      <c r="U20" s="24"/>
      <c r="V20" s="24"/>
      <c r="W20" s="25">
        <v>43460</v>
      </c>
      <c r="X20" s="25"/>
      <c r="Y20" s="25"/>
      <c r="Z20" s="25"/>
      <c r="AA20" s="25"/>
      <c r="AB20" s="15" t="s">
        <v>51</v>
      </c>
      <c r="AC20" s="26">
        <v>43566</v>
      </c>
      <c r="AD20" s="26"/>
      <c r="AE20" s="26" t="s">
        <v>53</v>
      </c>
      <c r="AF20" s="15"/>
      <c r="AG20" s="27" t="s">
        <v>137</v>
      </c>
      <c r="AH20" s="27"/>
      <c r="AI20" s="27"/>
      <c r="AJ20" s="28"/>
      <c r="AK20" s="29"/>
      <c r="AL20" s="29"/>
      <c r="AM20" s="31"/>
      <c r="AN20" s="32"/>
      <c r="AO20" s="27"/>
      <c r="AP20" s="33"/>
      <c r="AQ20" s="34"/>
      <c r="AR20" s="35">
        <v>4400000376</v>
      </c>
      <c r="AS20" s="59"/>
      <c r="AT20" s="31"/>
    </row>
    <row r="21" spans="1:46" ht="22.5" x14ac:dyDescent="0.25">
      <c r="A21" s="14" t="s">
        <v>167</v>
      </c>
      <c r="B21" s="15" t="s">
        <v>45</v>
      </c>
      <c r="C21" s="15" t="s">
        <v>160</v>
      </c>
      <c r="D21" s="15" t="s">
        <v>160</v>
      </c>
      <c r="E21" s="15" t="s">
        <v>161</v>
      </c>
      <c r="F21" s="16" t="s">
        <v>168</v>
      </c>
      <c r="G21" s="17">
        <v>900518176</v>
      </c>
      <c r="H21" s="17">
        <v>7</v>
      </c>
      <c r="I21" s="18" t="s">
        <v>163</v>
      </c>
      <c r="J21" s="15"/>
      <c r="K21" s="15"/>
      <c r="L21" s="26"/>
      <c r="M21" s="19">
        <v>94050000</v>
      </c>
      <c r="N21" s="20"/>
      <c r="O21" s="20"/>
      <c r="P21" s="48">
        <v>0</v>
      </c>
      <c r="Q21" s="21">
        <f t="shared" si="0"/>
        <v>94050000</v>
      </c>
      <c r="R21" s="22"/>
      <c r="S21" s="23">
        <f t="shared" si="1"/>
        <v>94050000</v>
      </c>
      <c r="T21" s="23"/>
      <c r="U21" s="24">
        <v>43126</v>
      </c>
      <c r="V21" s="24"/>
      <c r="W21" s="25">
        <v>43460</v>
      </c>
      <c r="X21" s="25"/>
      <c r="Y21" s="25"/>
      <c r="Z21" s="25"/>
      <c r="AA21" s="25"/>
      <c r="AB21" s="15" t="s">
        <v>51</v>
      </c>
      <c r="AC21" s="26">
        <v>43523</v>
      </c>
      <c r="AD21" s="26"/>
      <c r="AE21" s="26" t="s">
        <v>53</v>
      </c>
      <c r="AF21" s="15"/>
      <c r="AG21" s="27" t="s">
        <v>137</v>
      </c>
      <c r="AH21" s="27"/>
      <c r="AI21" s="27"/>
      <c r="AJ21" s="28"/>
      <c r="AK21" s="29"/>
      <c r="AL21" s="29"/>
      <c r="AM21" s="31"/>
      <c r="AN21" s="32"/>
      <c r="AO21" s="27"/>
      <c r="AP21" s="33"/>
      <c r="AQ21" s="34"/>
      <c r="AR21" s="35" t="s">
        <v>169</v>
      </c>
      <c r="AS21" s="59"/>
      <c r="AT21" s="31"/>
    </row>
    <row r="22" spans="1:46" ht="45" x14ac:dyDescent="0.25">
      <c r="A22" s="14" t="s">
        <v>170</v>
      </c>
      <c r="B22" s="15" t="s">
        <v>45</v>
      </c>
      <c r="C22" s="40" t="s">
        <v>171</v>
      </c>
      <c r="D22" s="40" t="s">
        <v>47</v>
      </c>
      <c r="E22" s="40" t="s">
        <v>48</v>
      </c>
      <c r="F22" s="16" t="s">
        <v>172</v>
      </c>
      <c r="G22" s="17">
        <v>79959686</v>
      </c>
      <c r="H22" s="17"/>
      <c r="I22" s="18" t="s">
        <v>173</v>
      </c>
      <c r="J22" s="15"/>
      <c r="K22" s="15"/>
      <c r="L22" s="26"/>
      <c r="M22" s="41">
        <v>33700000</v>
      </c>
      <c r="N22" s="20"/>
      <c r="O22" s="20"/>
      <c r="P22" s="21"/>
      <c r="Q22" s="21">
        <f t="shared" si="0"/>
        <v>33700000</v>
      </c>
      <c r="R22" s="22"/>
      <c r="S22" s="23">
        <f t="shared" si="1"/>
        <v>33700000</v>
      </c>
      <c r="T22" s="23"/>
      <c r="U22" s="42">
        <v>43126</v>
      </c>
      <c r="V22" s="42"/>
      <c r="W22" s="26">
        <v>43246</v>
      </c>
      <c r="X22" s="60"/>
      <c r="Y22" s="60"/>
      <c r="Z22" s="25"/>
      <c r="AA22" s="25"/>
      <c r="AB22" s="15" t="s">
        <v>51</v>
      </c>
      <c r="AC22" s="26">
        <v>43293</v>
      </c>
      <c r="AD22" s="26" t="s">
        <v>52</v>
      </c>
      <c r="AE22" s="26" t="s">
        <v>53</v>
      </c>
      <c r="AF22" s="15"/>
      <c r="AG22" s="44" t="s">
        <v>54</v>
      </c>
      <c r="AH22" s="44"/>
      <c r="AI22" s="44"/>
      <c r="AJ22" s="28"/>
      <c r="AK22" s="29"/>
      <c r="AL22" s="29"/>
      <c r="AM22" s="31"/>
      <c r="AN22" s="31"/>
      <c r="AO22" s="27"/>
      <c r="AP22" s="31"/>
      <c r="AQ22" s="61"/>
      <c r="AR22" s="45" t="s">
        <v>174</v>
      </c>
      <c r="AS22" s="59"/>
      <c r="AT22" s="31"/>
    </row>
    <row r="23" spans="1:46" ht="78.75" x14ac:dyDescent="0.25">
      <c r="A23" s="14" t="s">
        <v>175</v>
      </c>
      <c r="B23" s="15" t="s">
        <v>176</v>
      </c>
      <c r="C23" s="15" t="s">
        <v>177</v>
      </c>
      <c r="D23" s="15" t="s">
        <v>178</v>
      </c>
      <c r="E23" s="15" t="s">
        <v>161</v>
      </c>
      <c r="F23" s="16" t="s">
        <v>179</v>
      </c>
      <c r="G23" s="17">
        <v>860012336</v>
      </c>
      <c r="H23" s="17">
        <v>1</v>
      </c>
      <c r="I23" s="18" t="s">
        <v>180</v>
      </c>
      <c r="J23" s="15"/>
      <c r="K23" s="15"/>
      <c r="L23" s="26"/>
      <c r="M23" s="19">
        <v>38612511</v>
      </c>
      <c r="N23" s="20"/>
      <c r="O23" s="20"/>
      <c r="P23" s="21"/>
      <c r="Q23" s="21">
        <f t="shared" si="0"/>
        <v>38612511</v>
      </c>
      <c r="R23" s="22"/>
      <c r="S23" s="23">
        <f t="shared" si="1"/>
        <v>38612511</v>
      </c>
      <c r="T23" s="23"/>
      <c r="U23" s="24">
        <v>43140</v>
      </c>
      <c r="V23" s="24"/>
      <c r="W23" s="25">
        <v>43404</v>
      </c>
      <c r="X23" s="25"/>
      <c r="Y23" s="25"/>
      <c r="Z23" s="25"/>
      <c r="AA23" s="25"/>
      <c r="AB23" s="15" t="s">
        <v>51</v>
      </c>
      <c r="AC23" s="26">
        <v>43434</v>
      </c>
      <c r="AD23" s="26" t="s">
        <v>52</v>
      </c>
      <c r="AE23" s="26" t="s">
        <v>181</v>
      </c>
      <c r="AF23" s="15"/>
      <c r="AG23" s="27" t="s">
        <v>54</v>
      </c>
      <c r="AH23" s="27"/>
      <c r="AI23" s="27"/>
      <c r="AJ23" s="28"/>
      <c r="AK23" s="29"/>
      <c r="AL23" s="29"/>
      <c r="AM23" s="31"/>
      <c r="AN23" s="32"/>
      <c r="AO23" s="27"/>
      <c r="AP23" s="33"/>
      <c r="AQ23" s="34"/>
      <c r="AR23" s="35" t="s">
        <v>182</v>
      </c>
      <c r="AS23" s="59"/>
      <c r="AT23" s="31"/>
    </row>
    <row r="24" spans="1:46" ht="15" x14ac:dyDescent="0.25">
      <c r="A24" s="14" t="s">
        <v>183</v>
      </c>
      <c r="B24" s="15" t="s">
        <v>108</v>
      </c>
      <c r="C24" s="15"/>
      <c r="D24" s="15"/>
      <c r="E24" s="15" t="s">
        <v>184</v>
      </c>
      <c r="F24" s="16" t="s">
        <v>185</v>
      </c>
      <c r="G24" s="15"/>
      <c r="H24" s="15"/>
      <c r="I24" s="18" t="s">
        <v>186</v>
      </c>
      <c r="J24" s="15"/>
      <c r="K24" s="15"/>
      <c r="L24" s="26"/>
      <c r="M24" s="19"/>
      <c r="N24" s="20"/>
      <c r="O24" s="20"/>
      <c r="P24" s="21"/>
      <c r="Q24" s="21">
        <f t="shared" si="0"/>
        <v>0</v>
      </c>
      <c r="R24" s="22"/>
      <c r="S24" s="23">
        <f t="shared" si="1"/>
        <v>0</v>
      </c>
      <c r="T24" s="23"/>
      <c r="U24" s="26">
        <v>43150</v>
      </c>
      <c r="V24" s="26"/>
      <c r="W24" s="25">
        <v>43465</v>
      </c>
      <c r="X24" s="25"/>
      <c r="Y24" s="25"/>
      <c r="Z24" s="25">
        <v>43677</v>
      </c>
      <c r="AA24" s="25"/>
      <c r="AB24" s="15" t="s">
        <v>51</v>
      </c>
      <c r="AC24" s="26"/>
      <c r="AD24" s="26"/>
      <c r="AE24" s="26"/>
      <c r="AF24" s="15"/>
      <c r="AG24" s="27"/>
      <c r="AH24" s="27"/>
      <c r="AI24" s="27"/>
      <c r="AJ24" s="28"/>
      <c r="AK24" s="29"/>
      <c r="AL24" s="29"/>
      <c r="AM24" s="31"/>
      <c r="AN24" s="32"/>
      <c r="AO24" s="27"/>
      <c r="AP24" s="33"/>
      <c r="AQ24" s="34"/>
      <c r="AR24" s="35" t="s">
        <v>187</v>
      </c>
      <c r="AS24" s="59"/>
      <c r="AT24" s="31" t="s">
        <v>188</v>
      </c>
    </row>
    <row r="25" spans="1:46" ht="15" x14ac:dyDescent="0.25">
      <c r="A25" s="14" t="s">
        <v>189</v>
      </c>
      <c r="B25" s="15" t="s">
        <v>108</v>
      </c>
      <c r="C25" s="15"/>
      <c r="D25" s="15"/>
      <c r="E25" s="15" t="s">
        <v>190</v>
      </c>
      <c r="F25" s="16" t="s">
        <v>191</v>
      </c>
      <c r="G25" s="15"/>
      <c r="H25" s="15"/>
      <c r="I25" s="18" t="s">
        <v>116</v>
      </c>
      <c r="J25" s="15"/>
      <c r="K25" s="15"/>
      <c r="L25" s="26"/>
      <c r="M25" s="19"/>
      <c r="N25" s="20"/>
      <c r="O25" s="20"/>
      <c r="P25" s="21"/>
      <c r="Q25" s="21">
        <f t="shared" si="0"/>
        <v>0</v>
      </c>
      <c r="R25" s="22"/>
      <c r="S25" s="23">
        <f t="shared" si="1"/>
        <v>0</v>
      </c>
      <c r="T25" s="23"/>
      <c r="U25" s="26">
        <v>43150</v>
      </c>
      <c r="V25" s="26"/>
      <c r="W25" s="25">
        <v>43465</v>
      </c>
      <c r="X25" s="25"/>
      <c r="Y25" s="25"/>
      <c r="Z25" s="25"/>
      <c r="AA25" s="25"/>
      <c r="AB25" s="15" t="s">
        <v>51</v>
      </c>
      <c r="AC25" s="26">
        <v>43438</v>
      </c>
      <c r="AD25" s="26"/>
      <c r="AE25" s="26"/>
      <c r="AF25" s="15"/>
      <c r="AG25" s="27"/>
      <c r="AH25" s="27"/>
      <c r="AI25" s="27"/>
      <c r="AJ25" s="28"/>
      <c r="AK25" s="29"/>
      <c r="AL25" s="29"/>
      <c r="AM25" s="31"/>
      <c r="AN25" s="32"/>
      <c r="AO25" s="27"/>
      <c r="AP25" s="33"/>
      <c r="AQ25" s="34"/>
      <c r="AR25" s="35" t="s">
        <v>192</v>
      </c>
      <c r="AS25" s="59"/>
      <c r="AT25" s="31" t="s">
        <v>193</v>
      </c>
    </row>
    <row r="26" spans="1:46" ht="45" x14ac:dyDescent="0.25">
      <c r="A26" s="14" t="s">
        <v>194</v>
      </c>
      <c r="B26" s="15" t="s">
        <v>176</v>
      </c>
      <c r="C26" s="15" t="s">
        <v>195</v>
      </c>
      <c r="D26" s="15" t="s">
        <v>196</v>
      </c>
      <c r="E26" s="15" t="s">
        <v>85</v>
      </c>
      <c r="F26" s="16" t="s">
        <v>197</v>
      </c>
      <c r="G26" s="17">
        <v>900353140</v>
      </c>
      <c r="H26" s="17">
        <v>2</v>
      </c>
      <c r="I26" s="49" t="s">
        <v>198</v>
      </c>
      <c r="J26" s="15"/>
      <c r="K26" s="15"/>
      <c r="L26" s="26"/>
      <c r="M26" s="22">
        <v>4740700</v>
      </c>
      <c r="N26" s="50">
        <v>35318</v>
      </c>
      <c r="O26" s="50"/>
      <c r="P26" s="51">
        <v>0</v>
      </c>
      <c r="Q26" s="21">
        <f t="shared" si="0"/>
        <v>4740700</v>
      </c>
      <c r="R26" s="22">
        <v>4740700</v>
      </c>
      <c r="S26" s="23">
        <f t="shared" si="1"/>
        <v>0</v>
      </c>
      <c r="T26" s="23" t="s">
        <v>88</v>
      </c>
      <c r="U26" s="26">
        <v>43161</v>
      </c>
      <c r="V26" s="26">
        <v>43166</v>
      </c>
      <c r="W26" s="25">
        <v>43444</v>
      </c>
      <c r="X26" s="25"/>
      <c r="Y26" s="25">
        <f>W26+120</f>
        <v>43564</v>
      </c>
      <c r="Z26" s="25"/>
      <c r="AA26" s="25"/>
      <c r="AB26" s="15" t="s">
        <v>51</v>
      </c>
      <c r="AC26" s="26">
        <v>43559</v>
      </c>
      <c r="AD26" s="26" t="s">
        <v>52</v>
      </c>
      <c r="AE26" s="26" t="s">
        <v>199</v>
      </c>
      <c r="AF26" s="15"/>
      <c r="AG26" s="27" t="s">
        <v>54</v>
      </c>
      <c r="AH26" s="27" t="s">
        <v>200</v>
      </c>
      <c r="AI26" s="27" t="s">
        <v>201</v>
      </c>
      <c r="AJ26" s="28">
        <v>52453006</v>
      </c>
      <c r="AK26" s="29" t="s">
        <v>94</v>
      </c>
      <c r="AL26" s="29">
        <v>43164</v>
      </c>
      <c r="AM26" s="27" t="s">
        <v>202</v>
      </c>
      <c r="AN26" s="32" t="s">
        <v>203</v>
      </c>
      <c r="AO26" s="27" t="s">
        <v>204</v>
      </c>
      <c r="AP26" s="33">
        <v>0.25</v>
      </c>
      <c r="AQ26" s="64">
        <v>1185175</v>
      </c>
      <c r="AR26" s="35" t="s">
        <v>205</v>
      </c>
      <c r="AS26" s="59" t="s">
        <v>206</v>
      </c>
      <c r="AT26" s="31" t="s">
        <v>207</v>
      </c>
    </row>
    <row r="27" spans="1:46" ht="15" x14ac:dyDescent="0.25">
      <c r="A27" s="14" t="s">
        <v>208</v>
      </c>
      <c r="B27" s="15" t="s">
        <v>108</v>
      </c>
      <c r="C27" s="15"/>
      <c r="D27" s="15"/>
      <c r="E27" s="15" t="s">
        <v>190</v>
      </c>
      <c r="F27" s="16" t="s">
        <v>209</v>
      </c>
      <c r="G27" s="15"/>
      <c r="H27" s="15"/>
      <c r="I27" s="18" t="s">
        <v>116</v>
      </c>
      <c r="J27" s="15"/>
      <c r="K27" s="15"/>
      <c r="L27" s="26"/>
      <c r="M27" s="19"/>
      <c r="N27" s="20"/>
      <c r="O27" s="20"/>
      <c r="P27" s="21"/>
      <c r="Q27" s="21">
        <f t="shared" si="0"/>
        <v>0</v>
      </c>
      <c r="R27" s="22"/>
      <c r="S27" s="23">
        <f t="shared" si="1"/>
        <v>0</v>
      </c>
      <c r="T27" s="23"/>
      <c r="U27" s="26"/>
      <c r="V27" s="26"/>
      <c r="W27" s="25">
        <v>43465</v>
      </c>
      <c r="X27" s="25"/>
      <c r="Y27" s="25"/>
      <c r="Z27" s="25"/>
      <c r="AA27" s="25"/>
      <c r="AB27" s="15" t="s">
        <v>51</v>
      </c>
      <c r="AC27" s="38">
        <v>43585</v>
      </c>
      <c r="AD27" s="26"/>
      <c r="AE27" s="26"/>
      <c r="AF27" s="15"/>
      <c r="AG27" s="27"/>
      <c r="AH27" s="27"/>
      <c r="AI27" s="27"/>
      <c r="AJ27" s="28"/>
      <c r="AK27" s="29"/>
      <c r="AL27" s="29"/>
      <c r="AM27" s="31"/>
      <c r="AN27" s="32"/>
      <c r="AO27" s="27"/>
      <c r="AP27" s="33"/>
      <c r="AQ27" s="34"/>
      <c r="AR27" s="35" t="s">
        <v>210</v>
      </c>
      <c r="AS27" s="59"/>
      <c r="AT27" s="31"/>
    </row>
    <row r="28" spans="1:46" ht="45" x14ac:dyDescent="0.25">
      <c r="A28" s="14" t="s">
        <v>211</v>
      </c>
      <c r="B28" s="15" t="s">
        <v>176</v>
      </c>
      <c r="C28" s="15" t="s">
        <v>212</v>
      </c>
      <c r="D28" s="15" t="s">
        <v>102</v>
      </c>
      <c r="E28" s="15" t="s">
        <v>85</v>
      </c>
      <c r="F28" s="16" t="s">
        <v>213</v>
      </c>
      <c r="G28" s="17">
        <v>830088907</v>
      </c>
      <c r="H28" s="17">
        <v>4</v>
      </c>
      <c r="I28" s="49" t="s">
        <v>214</v>
      </c>
      <c r="J28" s="15"/>
      <c r="K28" s="15"/>
      <c r="L28" s="26"/>
      <c r="M28" s="22">
        <v>25228000</v>
      </c>
      <c r="N28" s="65">
        <v>36418</v>
      </c>
      <c r="O28" s="65"/>
      <c r="P28" s="51">
        <v>0</v>
      </c>
      <c r="Q28" s="21">
        <f t="shared" si="0"/>
        <v>25228000</v>
      </c>
      <c r="R28" s="22">
        <v>25228000</v>
      </c>
      <c r="S28" s="23">
        <f t="shared" si="1"/>
        <v>0</v>
      </c>
      <c r="T28" s="23"/>
      <c r="U28" s="26">
        <v>43166</v>
      </c>
      <c r="V28" s="26">
        <v>43171</v>
      </c>
      <c r="W28" s="25">
        <v>43448</v>
      </c>
      <c r="X28" s="25"/>
      <c r="Y28" s="25">
        <f>W28+120</f>
        <v>43568</v>
      </c>
      <c r="Z28" s="25"/>
      <c r="AA28" s="25"/>
      <c r="AB28" s="15" t="s">
        <v>51</v>
      </c>
      <c r="AC28" s="26">
        <v>43559</v>
      </c>
      <c r="AD28" s="26" t="s">
        <v>52</v>
      </c>
      <c r="AE28" s="26" t="s">
        <v>215</v>
      </c>
      <c r="AF28" s="15"/>
      <c r="AG28" s="27" t="s">
        <v>54</v>
      </c>
      <c r="AH28" s="27" t="s">
        <v>216</v>
      </c>
      <c r="AI28" s="27" t="s">
        <v>217</v>
      </c>
      <c r="AJ28" s="28">
        <v>80804610</v>
      </c>
      <c r="AK28" s="29" t="s">
        <v>129</v>
      </c>
      <c r="AL28" s="29">
        <v>43167</v>
      </c>
      <c r="AM28" s="27" t="s">
        <v>95</v>
      </c>
      <c r="AN28" s="32" t="s">
        <v>218</v>
      </c>
      <c r="AO28" s="27" t="s">
        <v>204</v>
      </c>
      <c r="AP28" s="33">
        <v>0.8</v>
      </c>
      <c r="AQ28" s="64">
        <v>20182400</v>
      </c>
      <c r="AR28" s="35" t="s">
        <v>219</v>
      </c>
      <c r="AS28" s="59" t="s">
        <v>206</v>
      </c>
      <c r="AT28" s="31" t="s">
        <v>220</v>
      </c>
    </row>
    <row r="29" spans="1:46" ht="56.25" x14ac:dyDescent="0.25">
      <c r="A29" s="14" t="s">
        <v>221</v>
      </c>
      <c r="B29" s="15" t="s">
        <v>222</v>
      </c>
      <c r="C29" s="15" t="s">
        <v>223</v>
      </c>
      <c r="D29" s="15" t="s">
        <v>224</v>
      </c>
      <c r="E29" s="15" t="s">
        <v>85</v>
      </c>
      <c r="F29" s="16" t="s">
        <v>225</v>
      </c>
      <c r="G29" s="17">
        <v>830118785</v>
      </c>
      <c r="H29" s="17">
        <v>2</v>
      </c>
      <c r="I29" s="49" t="s">
        <v>226</v>
      </c>
      <c r="J29" s="15" t="s">
        <v>227</v>
      </c>
      <c r="K29" s="15" t="s">
        <v>228</v>
      </c>
      <c r="L29" s="26">
        <v>43465</v>
      </c>
      <c r="M29" s="66">
        <v>14632427034</v>
      </c>
      <c r="N29" s="67">
        <v>42818</v>
      </c>
      <c r="O29" s="67"/>
      <c r="P29" s="68">
        <v>0</v>
      </c>
      <c r="Q29" s="21">
        <f t="shared" si="0"/>
        <v>14632427034</v>
      </c>
      <c r="R29" s="69">
        <v>14632420808</v>
      </c>
      <c r="S29" s="23">
        <f t="shared" si="1"/>
        <v>6226</v>
      </c>
      <c r="T29" s="23">
        <v>6226</v>
      </c>
      <c r="U29" s="26">
        <v>43166</v>
      </c>
      <c r="V29" s="26">
        <v>43175</v>
      </c>
      <c r="W29" s="25" t="s">
        <v>229</v>
      </c>
      <c r="X29" s="25"/>
      <c r="Y29" s="25">
        <f>Z29+120</f>
        <v>43584</v>
      </c>
      <c r="Z29" s="25">
        <v>43464</v>
      </c>
      <c r="AA29" s="25"/>
      <c r="AB29" s="15" t="s">
        <v>51</v>
      </c>
      <c r="AC29" s="26">
        <v>43629</v>
      </c>
      <c r="AD29" s="26"/>
      <c r="AE29" s="26"/>
      <c r="AF29" s="15"/>
      <c r="AG29" s="27" t="s">
        <v>156</v>
      </c>
      <c r="AH29" s="27" t="s">
        <v>230</v>
      </c>
      <c r="AI29" s="27" t="s">
        <v>231</v>
      </c>
      <c r="AJ29" s="28">
        <v>63475984</v>
      </c>
      <c r="AK29" s="29" t="s">
        <v>232</v>
      </c>
      <c r="AL29" s="29">
        <v>43172</v>
      </c>
      <c r="AM29" s="27" t="s">
        <v>95</v>
      </c>
      <c r="AN29" s="70" t="s">
        <v>233</v>
      </c>
      <c r="AO29" s="27" t="s">
        <v>234</v>
      </c>
      <c r="AP29" s="33">
        <v>0.9</v>
      </c>
      <c r="AQ29" s="71">
        <v>13169184330.6</v>
      </c>
      <c r="AR29" s="35" t="s">
        <v>235</v>
      </c>
      <c r="AS29" s="72" t="s">
        <v>206</v>
      </c>
      <c r="AT29" s="73" t="s">
        <v>236</v>
      </c>
    </row>
    <row r="30" spans="1:46" ht="56.25" x14ac:dyDescent="0.25">
      <c r="A30" s="14" t="s">
        <v>237</v>
      </c>
      <c r="B30" s="15" t="s">
        <v>222</v>
      </c>
      <c r="C30" s="15" t="s">
        <v>223</v>
      </c>
      <c r="D30" s="15" t="s">
        <v>224</v>
      </c>
      <c r="E30" s="15" t="s">
        <v>85</v>
      </c>
      <c r="F30" s="16" t="s">
        <v>225</v>
      </c>
      <c r="G30" s="17">
        <v>830118785</v>
      </c>
      <c r="H30" s="17">
        <v>2</v>
      </c>
      <c r="I30" s="49" t="s">
        <v>226</v>
      </c>
      <c r="J30" s="15" t="s">
        <v>227</v>
      </c>
      <c r="K30" s="15" t="s">
        <v>228</v>
      </c>
      <c r="L30" s="26">
        <v>43465</v>
      </c>
      <c r="M30" s="66"/>
      <c r="N30" s="67">
        <v>141118</v>
      </c>
      <c r="O30" s="67"/>
      <c r="P30" s="74">
        <v>3000000000</v>
      </c>
      <c r="Q30" s="21">
        <f t="shared" si="0"/>
        <v>3000000000</v>
      </c>
      <c r="R30" s="69">
        <v>2999998995</v>
      </c>
      <c r="S30" s="23">
        <f t="shared" si="1"/>
        <v>1005</v>
      </c>
      <c r="T30" s="23">
        <v>1005</v>
      </c>
      <c r="U30" s="26">
        <v>43333</v>
      </c>
      <c r="V30" s="26">
        <v>43333</v>
      </c>
      <c r="W30" s="25">
        <v>43464</v>
      </c>
      <c r="X30" s="25"/>
      <c r="Y30" s="25">
        <f t="shared" ref="Y30:Y34" si="2">Z30+120</f>
        <v>43584</v>
      </c>
      <c r="Z30" s="25">
        <v>43464</v>
      </c>
      <c r="AA30" s="25"/>
      <c r="AB30" s="15" t="s">
        <v>51</v>
      </c>
      <c r="AC30" s="26">
        <v>43629</v>
      </c>
      <c r="AD30" s="26"/>
      <c r="AE30" s="26" t="s">
        <v>79</v>
      </c>
      <c r="AF30" s="15"/>
      <c r="AG30" s="27" t="s">
        <v>156</v>
      </c>
      <c r="AH30" s="27" t="s">
        <v>230</v>
      </c>
      <c r="AI30" s="27" t="s">
        <v>231</v>
      </c>
      <c r="AJ30" s="28">
        <v>63475984</v>
      </c>
      <c r="AK30" s="29" t="s">
        <v>232</v>
      </c>
      <c r="AL30" s="29">
        <v>43336</v>
      </c>
      <c r="AM30" s="27" t="s">
        <v>95</v>
      </c>
      <c r="AN30" s="70" t="s">
        <v>233</v>
      </c>
      <c r="AO30" s="27" t="s">
        <v>234</v>
      </c>
      <c r="AP30" s="33">
        <v>0.9</v>
      </c>
      <c r="AQ30" s="71">
        <v>15869184330.6</v>
      </c>
      <c r="AR30" s="35">
        <v>5100002413</v>
      </c>
      <c r="AS30" s="72"/>
      <c r="AT30" s="73"/>
    </row>
    <row r="31" spans="1:46" ht="56.25" x14ac:dyDescent="0.25">
      <c r="A31" s="14" t="s">
        <v>238</v>
      </c>
      <c r="B31" s="15" t="s">
        <v>222</v>
      </c>
      <c r="C31" s="15" t="s">
        <v>223</v>
      </c>
      <c r="D31" s="15" t="s">
        <v>224</v>
      </c>
      <c r="E31" s="15" t="s">
        <v>85</v>
      </c>
      <c r="F31" s="16" t="s">
        <v>225</v>
      </c>
      <c r="G31" s="17">
        <v>830118785</v>
      </c>
      <c r="H31" s="17">
        <v>2</v>
      </c>
      <c r="I31" s="49" t="s">
        <v>226</v>
      </c>
      <c r="J31" s="15" t="s">
        <v>227</v>
      </c>
      <c r="K31" s="15" t="s">
        <v>228</v>
      </c>
      <c r="L31" s="26">
        <v>43465</v>
      </c>
      <c r="M31" s="66"/>
      <c r="N31" s="67">
        <v>157618</v>
      </c>
      <c r="O31" s="67"/>
      <c r="P31" s="74">
        <v>1200000000</v>
      </c>
      <c r="Q31" s="21">
        <f t="shared" si="0"/>
        <v>1200000000</v>
      </c>
      <c r="R31" s="69">
        <v>1199995636</v>
      </c>
      <c r="S31" s="23">
        <f t="shared" si="1"/>
        <v>4364</v>
      </c>
      <c r="T31" s="23">
        <v>4364</v>
      </c>
      <c r="U31" s="26">
        <v>43362</v>
      </c>
      <c r="V31" s="26">
        <v>43362</v>
      </c>
      <c r="W31" s="25">
        <v>43464</v>
      </c>
      <c r="X31" s="25"/>
      <c r="Y31" s="25">
        <f t="shared" si="2"/>
        <v>43584</v>
      </c>
      <c r="Z31" s="25">
        <v>43464</v>
      </c>
      <c r="AA31" s="25"/>
      <c r="AB31" s="15" t="s">
        <v>51</v>
      </c>
      <c r="AC31" s="26">
        <v>43629</v>
      </c>
      <c r="AD31" s="26"/>
      <c r="AE31" s="26" t="s">
        <v>79</v>
      </c>
      <c r="AF31" s="15"/>
      <c r="AG31" s="27" t="s">
        <v>156</v>
      </c>
      <c r="AH31" s="27" t="s">
        <v>230</v>
      </c>
      <c r="AI31" s="27" t="s">
        <v>231</v>
      </c>
      <c r="AJ31" s="28">
        <v>63475984</v>
      </c>
      <c r="AK31" s="29" t="s">
        <v>232</v>
      </c>
      <c r="AL31" s="29">
        <v>43367</v>
      </c>
      <c r="AM31" s="27" t="s">
        <v>95</v>
      </c>
      <c r="AN31" s="70" t="s">
        <v>233</v>
      </c>
      <c r="AO31" s="27" t="s">
        <v>234</v>
      </c>
      <c r="AP31" s="33">
        <v>0.9</v>
      </c>
      <c r="AQ31" s="71">
        <v>1080000000</v>
      </c>
      <c r="AR31" s="35">
        <v>5100002591</v>
      </c>
      <c r="AS31" s="72"/>
      <c r="AT31" s="73"/>
    </row>
    <row r="32" spans="1:46" ht="56.25" x14ac:dyDescent="0.25">
      <c r="A32" s="14" t="s">
        <v>239</v>
      </c>
      <c r="B32" s="15" t="s">
        <v>222</v>
      </c>
      <c r="C32" s="15" t="s">
        <v>223</v>
      </c>
      <c r="D32" s="15" t="s">
        <v>224</v>
      </c>
      <c r="E32" s="15" t="s">
        <v>85</v>
      </c>
      <c r="F32" s="16" t="s">
        <v>225</v>
      </c>
      <c r="G32" s="17">
        <v>830118785</v>
      </c>
      <c r="H32" s="17">
        <v>2</v>
      </c>
      <c r="I32" s="49" t="s">
        <v>226</v>
      </c>
      <c r="J32" s="15" t="s">
        <v>227</v>
      </c>
      <c r="K32" s="15" t="s">
        <v>228</v>
      </c>
      <c r="L32" s="26">
        <v>43465</v>
      </c>
      <c r="M32" s="19"/>
      <c r="N32" s="50">
        <v>161518</v>
      </c>
      <c r="O32" s="75"/>
      <c r="P32" s="74">
        <v>270000000</v>
      </c>
      <c r="Q32" s="21">
        <f t="shared" si="0"/>
        <v>270000000</v>
      </c>
      <c r="R32" s="69">
        <v>269997400</v>
      </c>
      <c r="S32" s="23">
        <f t="shared" si="1"/>
        <v>2600</v>
      </c>
      <c r="T32" s="23">
        <v>2600</v>
      </c>
      <c r="U32" s="26">
        <v>43381</v>
      </c>
      <c r="V32" s="26">
        <v>43381</v>
      </c>
      <c r="W32" s="25">
        <v>43464</v>
      </c>
      <c r="X32" s="25"/>
      <c r="Y32" s="25">
        <f t="shared" si="2"/>
        <v>43584</v>
      </c>
      <c r="Z32" s="25">
        <v>43464</v>
      </c>
      <c r="AA32" s="25"/>
      <c r="AB32" s="15" t="s">
        <v>51</v>
      </c>
      <c r="AC32" s="26">
        <v>43629</v>
      </c>
      <c r="AD32" s="26"/>
      <c r="AE32" s="26" t="s">
        <v>79</v>
      </c>
      <c r="AF32" s="15"/>
      <c r="AG32" s="27" t="s">
        <v>156</v>
      </c>
      <c r="AH32" s="27" t="s">
        <v>230</v>
      </c>
      <c r="AI32" s="27" t="s">
        <v>231</v>
      </c>
      <c r="AJ32" s="28">
        <v>63475984</v>
      </c>
      <c r="AK32" s="29" t="s">
        <v>232</v>
      </c>
      <c r="AL32" s="29">
        <v>43367</v>
      </c>
      <c r="AM32" s="27" t="s">
        <v>95</v>
      </c>
      <c r="AN32" s="70" t="s">
        <v>233</v>
      </c>
      <c r="AO32" s="27" t="s">
        <v>234</v>
      </c>
      <c r="AP32" s="33">
        <v>0.9</v>
      </c>
      <c r="AQ32" s="71">
        <v>243000000</v>
      </c>
      <c r="AR32" s="45">
        <v>5100002718</v>
      </c>
      <c r="AS32" s="72"/>
      <c r="AT32" s="73"/>
    </row>
    <row r="33" spans="1:46" ht="56.25" x14ac:dyDescent="0.25">
      <c r="A33" s="14" t="s">
        <v>240</v>
      </c>
      <c r="B33" s="15" t="s">
        <v>222</v>
      </c>
      <c r="C33" s="15" t="s">
        <v>223</v>
      </c>
      <c r="D33" s="15" t="s">
        <v>224</v>
      </c>
      <c r="E33" s="15" t="s">
        <v>85</v>
      </c>
      <c r="F33" s="16" t="s">
        <v>225</v>
      </c>
      <c r="G33" s="17">
        <v>830118785</v>
      </c>
      <c r="H33" s="17">
        <v>2</v>
      </c>
      <c r="I33" s="49" t="s">
        <v>226</v>
      </c>
      <c r="J33" s="15" t="s">
        <v>227</v>
      </c>
      <c r="K33" s="15" t="s">
        <v>228</v>
      </c>
      <c r="L33" s="26">
        <v>43465</v>
      </c>
      <c r="M33" s="19"/>
      <c r="N33" s="50">
        <v>171418</v>
      </c>
      <c r="O33" s="75"/>
      <c r="P33" s="74">
        <v>162000000</v>
      </c>
      <c r="Q33" s="74">
        <v>162000000</v>
      </c>
      <c r="R33" s="69">
        <v>79433432</v>
      </c>
      <c r="S33" s="23">
        <f>+Q33-R33</f>
        <v>82566568</v>
      </c>
      <c r="T33" s="23"/>
      <c r="U33" s="26">
        <v>43399</v>
      </c>
      <c r="V33" s="26">
        <v>43399</v>
      </c>
      <c r="W33" s="25">
        <v>43464</v>
      </c>
      <c r="X33" s="25"/>
      <c r="Y33" s="25">
        <f t="shared" si="2"/>
        <v>43584</v>
      </c>
      <c r="Z33" s="25">
        <v>43464</v>
      </c>
      <c r="AA33" s="25"/>
      <c r="AB33" s="15" t="s">
        <v>51</v>
      </c>
      <c r="AC33" s="26">
        <v>43629</v>
      </c>
      <c r="AD33" s="26"/>
      <c r="AE33" s="26" t="s">
        <v>79</v>
      </c>
      <c r="AF33" s="15"/>
      <c r="AG33" s="27" t="s">
        <v>156</v>
      </c>
      <c r="AH33" s="27" t="s">
        <v>230</v>
      </c>
      <c r="AI33" s="27" t="s">
        <v>231</v>
      </c>
      <c r="AJ33" s="28">
        <v>63475984</v>
      </c>
      <c r="AK33" s="29" t="s">
        <v>232</v>
      </c>
      <c r="AL33" s="29">
        <v>43367</v>
      </c>
      <c r="AM33" s="27" t="s">
        <v>95</v>
      </c>
      <c r="AN33" s="70" t="s">
        <v>233</v>
      </c>
      <c r="AO33" s="27" t="s">
        <v>234</v>
      </c>
      <c r="AP33" s="33">
        <v>0.9</v>
      </c>
      <c r="AQ33" s="71">
        <v>145800000</v>
      </c>
      <c r="AR33" s="45">
        <v>5100002782</v>
      </c>
      <c r="AS33" s="72"/>
      <c r="AT33" s="73"/>
    </row>
    <row r="34" spans="1:46" ht="56.25" x14ac:dyDescent="0.25">
      <c r="A34" s="14" t="s">
        <v>241</v>
      </c>
      <c r="B34" s="15" t="s">
        <v>222</v>
      </c>
      <c r="C34" s="15" t="s">
        <v>223</v>
      </c>
      <c r="D34" s="15" t="s">
        <v>224</v>
      </c>
      <c r="E34" s="15" t="s">
        <v>85</v>
      </c>
      <c r="F34" s="16" t="s">
        <v>225</v>
      </c>
      <c r="G34" s="17">
        <v>830118785</v>
      </c>
      <c r="H34" s="17">
        <v>2</v>
      </c>
      <c r="I34" s="49" t="s">
        <v>226</v>
      </c>
      <c r="J34" s="15" t="s">
        <v>227</v>
      </c>
      <c r="K34" s="15" t="s">
        <v>228</v>
      </c>
      <c r="L34" s="26">
        <v>43465</v>
      </c>
      <c r="M34" s="19"/>
      <c r="N34" s="50">
        <v>187618</v>
      </c>
      <c r="O34" s="75"/>
      <c r="P34" s="74">
        <v>150000000</v>
      </c>
      <c r="Q34" s="74"/>
      <c r="R34" s="69">
        <v>124625210</v>
      </c>
      <c r="S34" s="23">
        <f>P34-R34</f>
        <v>25374790</v>
      </c>
      <c r="T34" s="23">
        <f>Q34-S34</f>
        <v>-25374790</v>
      </c>
      <c r="U34" s="26">
        <v>43434</v>
      </c>
      <c r="V34" s="26">
        <v>43434</v>
      </c>
      <c r="W34" s="25">
        <v>43464</v>
      </c>
      <c r="X34" s="25"/>
      <c r="Y34" s="25">
        <f t="shared" si="2"/>
        <v>43584</v>
      </c>
      <c r="Z34" s="25">
        <v>43464</v>
      </c>
      <c r="AA34" s="25"/>
      <c r="AB34" s="15" t="s">
        <v>51</v>
      </c>
      <c r="AC34" s="26">
        <v>43629</v>
      </c>
      <c r="AD34" s="26"/>
      <c r="AE34" s="26" t="s">
        <v>79</v>
      </c>
      <c r="AF34" s="15"/>
      <c r="AG34" s="27" t="s">
        <v>156</v>
      </c>
      <c r="AH34" s="27" t="s">
        <v>230</v>
      </c>
      <c r="AI34" s="27" t="s">
        <v>231</v>
      </c>
      <c r="AJ34" s="28">
        <v>63475984</v>
      </c>
      <c r="AK34" s="29" t="s">
        <v>232</v>
      </c>
      <c r="AL34" s="29">
        <v>43440</v>
      </c>
      <c r="AM34" s="27" t="s">
        <v>95</v>
      </c>
      <c r="AN34" s="70" t="s">
        <v>233</v>
      </c>
      <c r="AO34" s="27" t="s">
        <v>234</v>
      </c>
      <c r="AP34" s="33">
        <v>0.9</v>
      </c>
      <c r="AQ34" s="71">
        <v>135000000</v>
      </c>
      <c r="AR34" s="45">
        <v>51000002916</v>
      </c>
      <c r="AS34" s="72"/>
      <c r="AT34" s="73"/>
    </row>
    <row r="35" spans="1:46" ht="56.25" x14ac:dyDescent="0.25">
      <c r="A35" s="14" t="s">
        <v>242</v>
      </c>
      <c r="B35" s="15" t="s">
        <v>243</v>
      </c>
      <c r="C35" s="15" t="s">
        <v>244</v>
      </c>
      <c r="D35" s="15" t="s">
        <v>245</v>
      </c>
      <c r="E35" s="15" t="s">
        <v>85</v>
      </c>
      <c r="F35" s="16" t="s">
        <v>246</v>
      </c>
      <c r="G35" s="17">
        <v>901161720</v>
      </c>
      <c r="H35" s="17">
        <v>3</v>
      </c>
      <c r="I35" s="49" t="s">
        <v>247</v>
      </c>
      <c r="J35" s="15" t="s">
        <v>248</v>
      </c>
      <c r="K35" s="15" t="s">
        <v>124</v>
      </c>
      <c r="L35" s="26">
        <v>43342</v>
      </c>
      <c r="M35" s="22">
        <v>100600000</v>
      </c>
      <c r="N35" s="50">
        <v>37318</v>
      </c>
      <c r="O35" s="50"/>
      <c r="P35" s="51">
        <v>0</v>
      </c>
      <c r="Q35" s="21">
        <f t="shared" si="0"/>
        <v>100600000</v>
      </c>
      <c r="R35" s="22">
        <v>100600000</v>
      </c>
      <c r="S35" s="23">
        <f t="shared" si="1"/>
        <v>0</v>
      </c>
      <c r="T35" s="23" t="s">
        <v>88</v>
      </c>
      <c r="U35" s="26">
        <v>43168</v>
      </c>
      <c r="V35" s="26">
        <v>43179</v>
      </c>
      <c r="W35" s="25" t="s">
        <v>249</v>
      </c>
      <c r="X35" s="25"/>
      <c r="Y35" s="25">
        <v>43464</v>
      </c>
      <c r="Z35" s="25">
        <v>43342</v>
      </c>
      <c r="AA35" s="25"/>
      <c r="AB35" s="15" t="s">
        <v>51</v>
      </c>
      <c r="AC35" s="26">
        <v>43753</v>
      </c>
      <c r="AD35" s="26"/>
      <c r="AE35" s="26"/>
      <c r="AF35" s="15"/>
      <c r="AG35" s="27" t="s">
        <v>137</v>
      </c>
      <c r="AH35" s="27" t="s">
        <v>250</v>
      </c>
      <c r="AI35" s="27" t="s">
        <v>251</v>
      </c>
      <c r="AJ35" s="28">
        <v>11388383</v>
      </c>
      <c r="AK35" s="29" t="s">
        <v>232</v>
      </c>
      <c r="AL35" s="29">
        <v>43171</v>
      </c>
      <c r="AM35" s="27" t="s">
        <v>252</v>
      </c>
      <c r="AN35" s="70" t="s">
        <v>253</v>
      </c>
      <c r="AO35" s="27" t="s">
        <v>234</v>
      </c>
      <c r="AP35" s="33">
        <v>0.95</v>
      </c>
      <c r="AQ35" s="76" t="s">
        <v>254</v>
      </c>
      <c r="AR35" s="35" t="s">
        <v>255</v>
      </c>
      <c r="AS35" s="72" t="s">
        <v>256</v>
      </c>
      <c r="AT35" s="31" t="s">
        <v>257</v>
      </c>
    </row>
    <row r="36" spans="1:46" ht="56.25" x14ac:dyDescent="0.25">
      <c r="A36" s="14" t="s">
        <v>258</v>
      </c>
      <c r="B36" s="15" t="s">
        <v>243</v>
      </c>
      <c r="C36" s="15" t="s">
        <v>244</v>
      </c>
      <c r="D36" s="15" t="s">
        <v>245</v>
      </c>
      <c r="E36" s="15" t="s">
        <v>85</v>
      </c>
      <c r="F36" s="16" t="s">
        <v>246</v>
      </c>
      <c r="G36" s="17">
        <v>901161720</v>
      </c>
      <c r="H36" s="17">
        <v>3</v>
      </c>
      <c r="I36" s="49" t="s">
        <v>247</v>
      </c>
      <c r="J36" s="15" t="s">
        <v>248</v>
      </c>
      <c r="K36" s="15" t="s">
        <v>124</v>
      </c>
      <c r="L36" s="26">
        <v>43342</v>
      </c>
      <c r="M36" s="22"/>
      <c r="N36" s="77">
        <v>129318</v>
      </c>
      <c r="O36" s="77"/>
      <c r="P36" s="78">
        <v>50000000</v>
      </c>
      <c r="Q36" s="21">
        <v>50000000</v>
      </c>
      <c r="R36" s="22">
        <v>0</v>
      </c>
      <c r="S36" s="23">
        <f>+Q36-R36</f>
        <v>50000000</v>
      </c>
      <c r="T36" s="79"/>
      <c r="U36" s="26">
        <v>43311</v>
      </c>
      <c r="V36" s="26"/>
      <c r="W36" s="25" t="s">
        <v>259</v>
      </c>
      <c r="X36" s="25"/>
      <c r="Y36" s="25" t="s">
        <v>260</v>
      </c>
      <c r="Z36" s="25" t="s">
        <v>259</v>
      </c>
      <c r="AA36" s="25"/>
      <c r="AB36" s="15" t="s">
        <v>51</v>
      </c>
      <c r="AC36" s="26">
        <v>43753</v>
      </c>
      <c r="AD36" s="26"/>
      <c r="AE36" s="26"/>
      <c r="AF36" s="15"/>
      <c r="AG36" s="27" t="s">
        <v>137</v>
      </c>
      <c r="AH36" s="27" t="s">
        <v>250</v>
      </c>
      <c r="AI36" s="27" t="s">
        <v>251</v>
      </c>
      <c r="AJ36" s="28">
        <v>11388383</v>
      </c>
      <c r="AK36" s="29" t="s">
        <v>232</v>
      </c>
      <c r="AL36" s="29">
        <v>43318</v>
      </c>
      <c r="AM36" s="27" t="s">
        <v>261</v>
      </c>
      <c r="AN36" s="70" t="s">
        <v>253</v>
      </c>
      <c r="AO36" s="27" t="s">
        <v>262</v>
      </c>
      <c r="AP36" s="33">
        <v>0.95</v>
      </c>
      <c r="AQ36" s="80" t="s">
        <v>263</v>
      </c>
      <c r="AR36" s="35">
        <v>4400000360</v>
      </c>
      <c r="AS36" s="72"/>
      <c r="AT36" s="31" t="s">
        <v>257</v>
      </c>
    </row>
    <row r="37" spans="1:46" ht="27" customHeight="1" x14ac:dyDescent="0.25">
      <c r="A37" s="14" t="s">
        <v>264</v>
      </c>
      <c r="B37" s="15" t="s">
        <v>176</v>
      </c>
      <c r="C37" s="15" t="s">
        <v>265</v>
      </c>
      <c r="D37" s="15" t="s">
        <v>266</v>
      </c>
      <c r="E37" s="15" t="s">
        <v>161</v>
      </c>
      <c r="F37" s="16" t="s">
        <v>267</v>
      </c>
      <c r="G37" s="17">
        <v>860002566</v>
      </c>
      <c r="H37" s="17">
        <v>6</v>
      </c>
      <c r="I37" s="18" t="s">
        <v>268</v>
      </c>
      <c r="J37" s="15"/>
      <c r="K37" s="15"/>
      <c r="L37" s="26"/>
      <c r="M37" s="19">
        <v>20000000</v>
      </c>
      <c r="N37" s="20"/>
      <c r="O37" s="20"/>
      <c r="P37" s="48">
        <v>0</v>
      </c>
      <c r="Q37" s="21">
        <f t="shared" si="0"/>
        <v>20000000</v>
      </c>
      <c r="R37" s="22"/>
      <c r="S37" s="23">
        <f t="shared" si="1"/>
        <v>20000000</v>
      </c>
      <c r="T37" s="81"/>
      <c r="U37" s="26">
        <v>43179</v>
      </c>
      <c r="V37" s="26"/>
      <c r="W37" s="25">
        <v>43281</v>
      </c>
      <c r="X37" s="25"/>
      <c r="Y37" s="25"/>
      <c r="Z37" s="25">
        <v>43444</v>
      </c>
      <c r="AA37" s="25"/>
      <c r="AB37" s="15" t="s">
        <v>51</v>
      </c>
      <c r="AC37" s="26">
        <v>43536</v>
      </c>
      <c r="AD37" s="26" t="s">
        <v>52</v>
      </c>
      <c r="AE37" s="26" t="s">
        <v>53</v>
      </c>
      <c r="AF37" s="15"/>
      <c r="AG37" s="27" t="s">
        <v>269</v>
      </c>
      <c r="AH37" s="27"/>
      <c r="AI37" s="27"/>
      <c r="AJ37" s="28"/>
      <c r="AK37" s="29"/>
      <c r="AL37" s="29"/>
      <c r="AM37" s="31"/>
      <c r="AN37" s="32"/>
      <c r="AO37" s="27"/>
      <c r="AP37" s="33"/>
      <c r="AQ37" s="34"/>
      <c r="AR37" s="35" t="s">
        <v>270</v>
      </c>
      <c r="AS37" s="59"/>
      <c r="AT37" s="31"/>
    </row>
    <row r="38" spans="1:46" ht="24.75" customHeight="1" x14ac:dyDescent="0.25">
      <c r="A38" s="14" t="s">
        <v>271</v>
      </c>
      <c r="B38" s="15" t="s">
        <v>176</v>
      </c>
      <c r="C38" s="15" t="s">
        <v>272</v>
      </c>
      <c r="D38" s="15" t="s">
        <v>266</v>
      </c>
      <c r="E38" s="15" t="s">
        <v>161</v>
      </c>
      <c r="F38" s="16" t="s">
        <v>273</v>
      </c>
      <c r="G38" s="17">
        <v>900990752</v>
      </c>
      <c r="H38" s="17">
        <v>1</v>
      </c>
      <c r="I38" s="18" t="s">
        <v>274</v>
      </c>
      <c r="J38" s="15"/>
      <c r="K38" s="15"/>
      <c r="L38" s="26"/>
      <c r="M38" s="19">
        <v>6370000</v>
      </c>
      <c r="N38" s="75"/>
      <c r="O38" s="75"/>
      <c r="P38" s="21"/>
      <c r="Q38" s="21">
        <f t="shared" si="0"/>
        <v>6370000</v>
      </c>
      <c r="R38" s="22"/>
      <c r="S38" s="23">
        <f t="shared" si="1"/>
        <v>6370000</v>
      </c>
      <c r="T38" s="23"/>
      <c r="U38" s="26">
        <v>43179</v>
      </c>
      <c r="V38" s="26"/>
      <c r="W38" s="25" t="s">
        <v>275</v>
      </c>
      <c r="X38" s="25"/>
      <c r="Y38" s="25"/>
      <c r="Z38" s="25"/>
      <c r="AA38" s="25"/>
      <c r="AB38" s="15" t="s">
        <v>51</v>
      </c>
      <c r="AC38" s="26">
        <v>43343</v>
      </c>
      <c r="AD38" s="26" t="s">
        <v>52</v>
      </c>
      <c r="AE38" s="26" t="s">
        <v>53</v>
      </c>
      <c r="AF38" s="15"/>
      <c r="AG38" s="44" t="s">
        <v>269</v>
      </c>
      <c r="AH38" s="44"/>
      <c r="AI38" s="44"/>
      <c r="AJ38" s="28"/>
      <c r="AK38" s="29"/>
      <c r="AL38" s="29"/>
      <c r="AM38" s="31"/>
      <c r="AN38" s="32"/>
      <c r="AO38" s="27"/>
      <c r="AP38" s="33"/>
      <c r="AQ38" s="34"/>
      <c r="AR38" s="45" t="s">
        <v>276</v>
      </c>
      <c r="AS38" s="59"/>
      <c r="AT38" s="31"/>
    </row>
    <row r="39" spans="1:46" ht="26.25" customHeight="1" x14ac:dyDescent="0.25">
      <c r="A39" s="14" t="s">
        <v>277</v>
      </c>
      <c r="B39" s="15" t="s">
        <v>176</v>
      </c>
      <c r="C39" s="15" t="s">
        <v>278</v>
      </c>
      <c r="D39" s="15" t="s">
        <v>279</v>
      </c>
      <c r="E39" s="15" t="s">
        <v>280</v>
      </c>
      <c r="F39" s="16" t="s">
        <v>281</v>
      </c>
      <c r="G39" s="17">
        <v>830053669</v>
      </c>
      <c r="H39" s="17">
        <v>5</v>
      </c>
      <c r="I39" s="18" t="s">
        <v>282</v>
      </c>
      <c r="J39" s="15"/>
      <c r="K39" s="15"/>
      <c r="L39" s="26"/>
      <c r="M39" s="19">
        <v>20000000</v>
      </c>
      <c r="N39" s="75"/>
      <c r="O39" s="75"/>
      <c r="P39" s="21"/>
      <c r="Q39" s="21">
        <f t="shared" si="0"/>
        <v>20000000</v>
      </c>
      <c r="R39" s="22"/>
      <c r="S39" s="23">
        <f t="shared" si="1"/>
        <v>20000000</v>
      </c>
      <c r="T39" s="23"/>
      <c r="U39" s="26">
        <v>43180</v>
      </c>
      <c r="V39" s="26">
        <v>43180</v>
      </c>
      <c r="W39" s="25">
        <v>43448</v>
      </c>
      <c r="X39" s="25"/>
      <c r="Y39" s="25">
        <f>+W39+120</f>
        <v>43568</v>
      </c>
      <c r="Z39" s="25"/>
      <c r="AA39" s="25"/>
      <c r="AB39" s="15" t="s">
        <v>51</v>
      </c>
      <c r="AC39" s="26">
        <v>44259</v>
      </c>
      <c r="AD39" s="26"/>
      <c r="AE39" s="26"/>
      <c r="AF39" s="26" t="s">
        <v>283</v>
      </c>
      <c r="AG39" s="27" t="s">
        <v>269</v>
      </c>
      <c r="AH39" s="27"/>
      <c r="AI39" s="27"/>
      <c r="AJ39" s="28"/>
      <c r="AK39" s="29"/>
      <c r="AL39" s="29"/>
      <c r="AM39" s="31"/>
      <c r="AN39" s="32"/>
      <c r="AO39" s="27"/>
      <c r="AP39" s="33"/>
      <c r="AQ39" s="34"/>
      <c r="AR39" s="35">
        <v>4300002373</v>
      </c>
      <c r="AS39" s="59"/>
      <c r="AT39" s="27" t="s">
        <v>284</v>
      </c>
    </row>
    <row r="40" spans="1:46" ht="37.5" customHeight="1" x14ac:dyDescent="0.25">
      <c r="A40" s="14" t="s">
        <v>285</v>
      </c>
      <c r="B40" s="15" t="s">
        <v>176</v>
      </c>
      <c r="C40" s="15" t="s">
        <v>278</v>
      </c>
      <c r="D40" s="15" t="s">
        <v>279</v>
      </c>
      <c r="E40" s="40" t="s">
        <v>280</v>
      </c>
      <c r="F40" s="16" t="s">
        <v>281</v>
      </c>
      <c r="G40" s="17">
        <v>830053669</v>
      </c>
      <c r="H40" s="17">
        <v>5</v>
      </c>
      <c r="I40" s="18" t="s">
        <v>282</v>
      </c>
      <c r="J40" s="15"/>
      <c r="K40" s="15"/>
      <c r="L40" s="26"/>
      <c r="M40" s="19"/>
      <c r="N40" s="75"/>
      <c r="O40" s="75"/>
      <c r="P40" s="21">
        <v>1500000</v>
      </c>
      <c r="Q40" s="21"/>
      <c r="R40" s="22"/>
      <c r="S40" s="23"/>
      <c r="T40" s="23"/>
      <c r="U40" s="26"/>
      <c r="V40" s="26"/>
      <c r="W40" s="25">
        <v>43448</v>
      </c>
      <c r="X40" s="25"/>
      <c r="Y40" s="25">
        <f>+W40+120</f>
        <v>43568</v>
      </c>
      <c r="Z40" s="25"/>
      <c r="AA40" s="25"/>
      <c r="AB40" s="15" t="s">
        <v>51</v>
      </c>
      <c r="AC40" s="26">
        <v>44259</v>
      </c>
      <c r="AD40" s="26"/>
      <c r="AE40" s="26"/>
      <c r="AF40" s="26" t="s">
        <v>283</v>
      </c>
      <c r="AG40" s="27" t="s">
        <v>269</v>
      </c>
      <c r="AH40" s="27"/>
      <c r="AI40" s="27"/>
      <c r="AJ40" s="28"/>
      <c r="AK40" s="29"/>
      <c r="AL40" s="29"/>
      <c r="AM40" s="31"/>
      <c r="AN40" s="32"/>
      <c r="AO40" s="27"/>
      <c r="AP40" s="33"/>
      <c r="AQ40" s="34"/>
      <c r="AR40" s="35">
        <v>4300002273</v>
      </c>
      <c r="AS40" s="59"/>
      <c r="AT40" s="27" t="s">
        <v>286</v>
      </c>
    </row>
    <row r="41" spans="1:46" ht="56.25" x14ac:dyDescent="0.25">
      <c r="A41" s="82" t="s">
        <v>287</v>
      </c>
      <c r="B41" s="83" t="s">
        <v>288</v>
      </c>
      <c r="C41" s="83" t="s">
        <v>289</v>
      </c>
      <c r="D41" s="82" t="s">
        <v>266</v>
      </c>
      <c r="E41" s="83" t="s">
        <v>290</v>
      </c>
      <c r="F41" s="84" t="s">
        <v>291</v>
      </c>
      <c r="G41" s="85">
        <v>891700037</v>
      </c>
      <c r="H41" s="85">
        <v>9</v>
      </c>
      <c r="I41" s="86" t="s">
        <v>292</v>
      </c>
      <c r="J41" s="87"/>
      <c r="K41" s="83"/>
      <c r="L41" s="88"/>
      <c r="M41" s="89">
        <v>1479270677</v>
      </c>
      <c r="N41" s="90"/>
      <c r="O41" s="91">
        <v>43829</v>
      </c>
      <c r="P41" s="92">
        <v>89339776</v>
      </c>
      <c r="Q41" s="92">
        <f t="shared" si="0"/>
        <v>1568610453</v>
      </c>
      <c r="R41" s="93"/>
      <c r="S41" s="94">
        <f t="shared" si="1"/>
        <v>1568610453</v>
      </c>
      <c r="T41" s="94"/>
      <c r="U41" s="88">
        <v>43182</v>
      </c>
      <c r="V41" s="88">
        <v>43182</v>
      </c>
      <c r="W41" s="95">
        <v>44177</v>
      </c>
      <c r="X41" s="95"/>
      <c r="Y41" s="95">
        <f>+Z41+120</f>
        <v>45046</v>
      </c>
      <c r="Z41" s="95">
        <v>44926</v>
      </c>
      <c r="AA41" s="95"/>
      <c r="AB41" s="83" t="s">
        <v>293</v>
      </c>
      <c r="AC41" s="88"/>
      <c r="AD41" s="88"/>
      <c r="AE41" s="88"/>
      <c r="AF41" s="96"/>
      <c r="AG41" s="13" t="s">
        <v>137</v>
      </c>
      <c r="AH41" s="97"/>
      <c r="AI41" s="97"/>
      <c r="AJ41" s="98"/>
      <c r="AK41" s="97"/>
      <c r="AL41" s="97"/>
      <c r="AM41" s="9"/>
      <c r="AN41" s="99"/>
      <c r="AO41" s="13"/>
      <c r="AP41" s="100"/>
      <c r="AQ41" s="101"/>
      <c r="AR41" s="102" t="s">
        <v>294</v>
      </c>
      <c r="AS41" s="103" t="s">
        <v>295</v>
      </c>
      <c r="AT41" s="9"/>
    </row>
    <row r="42" spans="1:46" ht="33.75" x14ac:dyDescent="0.25">
      <c r="A42" s="14" t="s">
        <v>296</v>
      </c>
      <c r="B42" s="15" t="s">
        <v>243</v>
      </c>
      <c r="C42" s="15" t="s">
        <v>297</v>
      </c>
      <c r="D42" s="14" t="s">
        <v>245</v>
      </c>
      <c r="E42" s="15" t="s">
        <v>298</v>
      </c>
      <c r="F42" s="16" t="s">
        <v>299</v>
      </c>
      <c r="G42" s="17">
        <v>901166989</v>
      </c>
      <c r="H42" s="17">
        <v>1</v>
      </c>
      <c r="I42" s="18" t="s">
        <v>300</v>
      </c>
      <c r="J42" s="104" t="s">
        <v>301</v>
      </c>
      <c r="K42" s="15" t="s">
        <v>124</v>
      </c>
      <c r="L42" s="26">
        <v>43464</v>
      </c>
      <c r="M42" s="55">
        <v>281137680</v>
      </c>
      <c r="N42" s="50">
        <v>57518</v>
      </c>
      <c r="O42" s="50"/>
      <c r="P42" s="55">
        <v>225000000</v>
      </c>
      <c r="Q42" s="21">
        <f t="shared" si="0"/>
        <v>506137680</v>
      </c>
      <c r="R42" s="55">
        <f>70284420+140568840</f>
        <v>210853260</v>
      </c>
      <c r="S42" s="23">
        <f t="shared" si="1"/>
        <v>295284420</v>
      </c>
      <c r="T42" s="21"/>
      <c r="U42" s="26">
        <v>43187</v>
      </c>
      <c r="V42" s="26">
        <v>43187</v>
      </c>
      <c r="W42" s="25">
        <v>43296</v>
      </c>
      <c r="X42" s="25"/>
      <c r="Y42" s="25">
        <f>+Z42+120</f>
        <v>43585</v>
      </c>
      <c r="Z42" s="38">
        <v>43465</v>
      </c>
      <c r="AA42" s="38"/>
      <c r="AB42" s="15" t="s">
        <v>302</v>
      </c>
      <c r="AC42" s="26">
        <v>44271</v>
      </c>
      <c r="AD42" s="26"/>
      <c r="AE42" s="26"/>
      <c r="AF42" s="105"/>
      <c r="AG42" s="27" t="s">
        <v>137</v>
      </c>
      <c r="AH42" s="29" t="s">
        <v>303</v>
      </c>
      <c r="AI42" s="106">
        <v>43323</v>
      </c>
      <c r="AJ42" s="28"/>
      <c r="AK42" s="29" t="s">
        <v>126</v>
      </c>
      <c r="AL42" s="29">
        <v>43193</v>
      </c>
      <c r="AM42" s="27" t="s">
        <v>127</v>
      </c>
      <c r="AN42" s="70" t="s">
        <v>304</v>
      </c>
      <c r="AO42" s="57" t="s">
        <v>305</v>
      </c>
      <c r="AP42" s="107" t="s">
        <v>306</v>
      </c>
      <c r="AQ42" s="108">
        <f>112455072+140568840+14056884+154248400</f>
        <v>421329196</v>
      </c>
      <c r="AR42" s="53" t="s">
        <v>307</v>
      </c>
      <c r="AS42" s="59" t="s">
        <v>308</v>
      </c>
      <c r="AT42" s="31" t="s">
        <v>309</v>
      </c>
    </row>
    <row r="43" spans="1:46" ht="22.5" x14ac:dyDescent="0.25">
      <c r="A43" s="14" t="s">
        <v>310</v>
      </c>
      <c r="B43" s="15" t="s">
        <v>311</v>
      </c>
      <c r="C43" s="15" t="s">
        <v>312</v>
      </c>
      <c r="D43" s="14"/>
      <c r="E43" s="40" t="s">
        <v>161</v>
      </c>
      <c r="F43" s="16" t="s">
        <v>313</v>
      </c>
      <c r="G43" s="17">
        <v>901168441</v>
      </c>
      <c r="H43" s="17">
        <v>5</v>
      </c>
      <c r="I43" s="18" t="s">
        <v>314</v>
      </c>
      <c r="J43" s="104"/>
      <c r="K43" s="15"/>
      <c r="L43" s="26"/>
      <c r="M43" s="55">
        <v>3541870406</v>
      </c>
      <c r="N43" s="109"/>
      <c r="O43" s="109"/>
      <c r="P43" s="48">
        <v>0</v>
      </c>
      <c r="Q43" s="21">
        <f t="shared" si="0"/>
        <v>3541870406</v>
      </c>
      <c r="R43" s="22"/>
      <c r="S43" s="23">
        <f t="shared" si="1"/>
        <v>3541870406</v>
      </c>
      <c r="T43" s="23"/>
      <c r="U43" s="26">
        <v>43192</v>
      </c>
      <c r="V43" s="26"/>
      <c r="W43" s="25">
        <v>43358</v>
      </c>
      <c r="X43" s="25"/>
      <c r="Y43" s="25"/>
      <c r="Z43" s="25">
        <v>43419</v>
      </c>
      <c r="AA43" s="25"/>
      <c r="AB43" s="15" t="s">
        <v>51</v>
      </c>
      <c r="AC43" s="26">
        <v>43656</v>
      </c>
      <c r="AD43" s="26"/>
      <c r="AE43" s="26"/>
      <c r="AF43" s="110"/>
      <c r="AG43" s="29"/>
      <c r="AH43" s="29"/>
      <c r="AI43" s="29"/>
      <c r="AJ43" s="28"/>
      <c r="AK43" s="29"/>
      <c r="AL43" s="29"/>
      <c r="AM43" s="31"/>
      <c r="AN43" s="32"/>
      <c r="AO43" s="27"/>
      <c r="AP43" s="33"/>
      <c r="AQ43" s="34"/>
      <c r="AR43" s="35" t="s">
        <v>315</v>
      </c>
      <c r="AS43" s="59"/>
      <c r="AT43" s="31"/>
    </row>
    <row r="44" spans="1:46" ht="33.75" x14ac:dyDescent="0.25">
      <c r="A44" s="14" t="s">
        <v>316</v>
      </c>
      <c r="B44" s="15" t="s">
        <v>288</v>
      </c>
      <c r="C44" s="15" t="s">
        <v>317</v>
      </c>
      <c r="D44" s="14" t="s">
        <v>318</v>
      </c>
      <c r="E44" s="15" t="s">
        <v>85</v>
      </c>
      <c r="F44" s="16" t="s">
        <v>319</v>
      </c>
      <c r="G44" s="17">
        <v>800068707</v>
      </c>
      <c r="H44" s="17">
        <v>3</v>
      </c>
      <c r="I44" s="49" t="s">
        <v>320</v>
      </c>
      <c r="J44" s="104"/>
      <c r="K44" s="15"/>
      <c r="L44" s="26"/>
      <c r="M44" s="22">
        <v>295792395</v>
      </c>
      <c r="N44" s="50">
        <v>16818</v>
      </c>
      <c r="O44" s="50"/>
      <c r="P44" s="51">
        <v>0</v>
      </c>
      <c r="Q44" s="21">
        <f t="shared" si="0"/>
        <v>295792395</v>
      </c>
      <c r="R44" s="111">
        <v>250591344</v>
      </c>
      <c r="S44" s="23">
        <f t="shared" si="1"/>
        <v>45201051</v>
      </c>
      <c r="T44" s="23">
        <v>0</v>
      </c>
      <c r="U44" s="26">
        <v>43196</v>
      </c>
      <c r="V44" s="26">
        <v>43203</v>
      </c>
      <c r="W44" s="25">
        <v>43460</v>
      </c>
      <c r="X44" s="25"/>
      <c r="Y44" s="25">
        <v>43581</v>
      </c>
      <c r="Z44" s="25">
        <v>43543</v>
      </c>
      <c r="AA44" s="25"/>
      <c r="AB44" s="15" t="s">
        <v>51</v>
      </c>
      <c r="AC44" s="26">
        <v>43648</v>
      </c>
      <c r="AD44" s="26"/>
      <c r="AE44" s="26"/>
      <c r="AF44" s="110"/>
      <c r="AG44" s="27" t="s">
        <v>137</v>
      </c>
      <c r="AH44" s="29" t="s">
        <v>321</v>
      </c>
      <c r="AI44" s="29">
        <v>43206</v>
      </c>
      <c r="AJ44" s="28">
        <v>19399203</v>
      </c>
      <c r="AK44" s="29" t="s">
        <v>322</v>
      </c>
      <c r="AL44" s="29">
        <v>43203</v>
      </c>
      <c r="AM44" s="27" t="s">
        <v>323</v>
      </c>
      <c r="AN44" s="70" t="s">
        <v>324</v>
      </c>
      <c r="AO44" s="27" t="s">
        <v>325</v>
      </c>
      <c r="AP44" s="33">
        <v>0.75</v>
      </c>
      <c r="AQ44" s="80">
        <f>156248400+221844296</f>
        <v>378092696</v>
      </c>
      <c r="AR44" s="35" t="s">
        <v>326</v>
      </c>
      <c r="AS44" s="59" t="s">
        <v>327</v>
      </c>
      <c r="AT44" s="31" t="s">
        <v>328</v>
      </c>
    </row>
    <row r="45" spans="1:46" ht="22.5" x14ac:dyDescent="0.25">
      <c r="A45" s="14" t="s">
        <v>329</v>
      </c>
      <c r="B45" s="15" t="s">
        <v>176</v>
      </c>
      <c r="C45" s="15" t="s">
        <v>330</v>
      </c>
      <c r="D45" s="14" t="s">
        <v>331</v>
      </c>
      <c r="E45" s="15" t="s">
        <v>332</v>
      </c>
      <c r="F45" s="16" t="s">
        <v>333</v>
      </c>
      <c r="G45" s="17">
        <v>800219876</v>
      </c>
      <c r="H45" s="17">
        <v>9</v>
      </c>
      <c r="I45" s="18" t="s">
        <v>334</v>
      </c>
      <c r="J45" s="104"/>
      <c r="K45" s="15"/>
      <c r="L45" s="26"/>
      <c r="M45" s="22">
        <v>50108547</v>
      </c>
      <c r="N45" s="50">
        <v>62318</v>
      </c>
      <c r="O45" s="50"/>
      <c r="P45" s="23"/>
      <c r="Q45" s="21">
        <f t="shared" si="0"/>
        <v>50108547</v>
      </c>
      <c r="R45" s="22"/>
      <c r="S45" s="23">
        <f t="shared" si="1"/>
        <v>50108547</v>
      </c>
      <c r="T45" s="23"/>
      <c r="U45" s="26">
        <v>43208</v>
      </c>
      <c r="V45" s="26"/>
      <c r="W45" s="25">
        <v>43220</v>
      </c>
      <c r="X45" s="25"/>
      <c r="Y45" s="25"/>
      <c r="Z45" s="25"/>
      <c r="AA45" s="25"/>
      <c r="AB45" s="26" t="s">
        <v>51</v>
      </c>
      <c r="AC45" s="26">
        <v>43395</v>
      </c>
      <c r="AD45" s="26" t="s">
        <v>52</v>
      </c>
      <c r="AE45" s="26"/>
      <c r="AF45" s="110"/>
      <c r="AG45" s="29" t="s">
        <v>335</v>
      </c>
      <c r="AH45" s="29" t="s">
        <v>336</v>
      </c>
      <c r="AI45" s="29">
        <v>43210</v>
      </c>
      <c r="AJ45" s="28"/>
      <c r="AK45" s="29"/>
      <c r="AL45" s="29"/>
      <c r="AM45" s="31"/>
      <c r="AN45" s="32"/>
      <c r="AO45" s="27"/>
      <c r="AP45" s="33"/>
      <c r="AQ45" s="80"/>
      <c r="AR45" s="35" t="s">
        <v>337</v>
      </c>
      <c r="AS45" s="59"/>
      <c r="AT45" s="31"/>
    </row>
    <row r="46" spans="1:46" ht="22.5" x14ac:dyDescent="0.25">
      <c r="A46" s="14" t="s">
        <v>338</v>
      </c>
      <c r="B46" s="15" t="s">
        <v>176</v>
      </c>
      <c r="C46" s="15" t="s">
        <v>339</v>
      </c>
      <c r="D46" s="14" t="s">
        <v>331</v>
      </c>
      <c r="E46" s="15" t="s">
        <v>332</v>
      </c>
      <c r="F46" s="16" t="s">
        <v>333</v>
      </c>
      <c r="G46" s="17">
        <v>800219876</v>
      </c>
      <c r="H46" s="17">
        <v>9</v>
      </c>
      <c r="I46" s="18" t="s">
        <v>334</v>
      </c>
      <c r="J46" s="104"/>
      <c r="K46" s="15"/>
      <c r="L46" s="26"/>
      <c r="M46" s="22">
        <v>50000000</v>
      </c>
      <c r="N46" s="50"/>
      <c r="O46" s="50"/>
      <c r="P46" s="23"/>
      <c r="Q46" s="21">
        <f t="shared" si="0"/>
        <v>50000000</v>
      </c>
      <c r="R46" s="22"/>
      <c r="S46" s="23">
        <f t="shared" si="1"/>
        <v>50000000</v>
      </c>
      <c r="T46" s="23"/>
      <c r="U46" s="26">
        <v>43208</v>
      </c>
      <c r="V46" s="26"/>
      <c r="W46" s="25">
        <v>43220</v>
      </c>
      <c r="X46" s="25"/>
      <c r="Y46" s="25"/>
      <c r="Z46" s="25"/>
      <c r="AA46" s="25"/>
      <c r="AB46" s="26" t="s">
        <v>51</v>
      </c>
      <c r="AC46" s="26">
        <v>43395</v>
      </c>
      <c r="AD46" s="26" t="s">
        <v>52</v>
      </c>
      <c r="AE46" s="26"/>
      <c r="AF46" s="110"/>
      <c r="AG46" s="29" t="s">
        <v>335</v>
      </c>
      <c r="AH46" s="29"/>
      <c r="AI46" s="29"/>
      <c r="AJ46" s="28"/>
      <c r="AK46" s="29"/>
      <c r="AL46" s="29"/>
      <c r="AM46" s="31"/>
      <c r="AN46" s="32"/>
      <c r="AO46" s="27"/>
      <c r="AP46" s="33"/>
      <c r="AQ46" s="80"/>
      <c r="AR46" s="35" t="s">
        <v>340</v>
      </c>
      <c r="AS46" s="59" t="s">
        <v>341</v>
      </c>
      <c r="AT46" s="31"/>
    </row>
    <row r="47" spans="1:46" ht="22.5" x14ac:dyDescent="0.25">
      <c r="A47" s="14" t="s">
        <v>342</v>
      </c>
      <c r="B47" s="15" t="s">
        <v>176</v>
      </c>
      <c r="C47" s="15" t="s">
        <v>343</v>
      </c>
      <c r="D47" s="14" t="s">
        <v>331</v>
      </c>
      <c r="E47" s="15" t="s">
        <v>332</v>
      </c>
      <c r="F47" s="16" t="s">
        <v>333</v>
      </c>
      <c r="G47" s="17">
        <v>800219876</v>
      </c>
      <c r="H47" s="17">
        <v>9</v>
      </c>
      <c r="I47" s="18" t="s">
        <v>334</v>
      </c>
      <c r="J47" s="104"/>
      <c r="K47" s="15"/>
      <c r="L47" s="26"/>
      <c r="M47" s="22">
        <v>50000000</v>
      </c>
      <c r="N47" s="50"/>
      <c r="O47" s="50"/>
      <c r="P47" s="23"/>
      <c r="Q47" s="21">
        <f t="shared" si="0"/>
        <v>50000000</v>
      </c>
      <c r="R47" s="22"/>
      <c r="S47" s="23">
        <f t="shared" si="1"/>
        <v>50000000</v>
      </c>
      <c r="T47" s="23"/>
      <c r="U47" s="26">
        <v>43208</v>
      </c>
      <c r="V47" s="26"/>
      <c r="W47" s="25">
        <v>43220</v>
      </c>
      <c r="X47" s="25"/>
      <c r="Y47" s="25"/>
      <c r="Z47" s="25"/>
      <c r="AA47" s="25"/>
      <c r="AB47" s="26" t="s">
        <v>51</v>
      </c>
      <c r="AC47" s="26">
        <v>43395</v>
      </c>
      <c r="AD47" s="26" t="s">
        <v>52</v>
      </c>
      <c r="AE47" s="26"/>
      <c r="AF47" s="110"/>
      <c r="AG47" s="29" t="s">
        <v>335</v>
      </c>
      <c r="AH47" s="29"/>
      <c r="AI47" s="29"/>
      <c r="AJ47" s="28"/>
      <c r="AK47" s="29"/>
      <c r="AL47" s="29"/>
      <c r="AM47" s="31"/>
      <c r="AN47" s="32"/>
      <c r="AO47" s="27"/>
      <c r="AP47" s="33"/>
      <c r="AQ47" s="80"/>
      <c r="AR47" s="35" t="s">
        <v>344</v>
      </c>
      <c r="AS47" s="59" t="s">
        <v>341</v>
      </c>
      <c r="AT47" s="31"/>
    </row>
    <row r="48" spans="1:46" ht="22.5" x14ac:dyDescent="0.25">
      <c r="A48" s="14" t="s">
        <v>345</v>
      </c>
      <c r="B48" s="15" t="s">
        <v>288</v>
      </c>
      <c r="C48" s="15" t="s">
        <v>346</v>
      </c>
      <c r="D48" s="14" t="s">
        <v>102</v>
      </c>
      <c r="E48" s="15" t="s">
        <v>120</v>
      </c>
      <c r="F48" s="16" t="s">
        <v>347</v>
      </c>
      <c r="G48" s="17">
        <v>830108222</v>
      </c>
      <c r="H48" s="17">
        <v>5</v>
      </c>
      <c r="I48" s="18" t="s">
        <v>348</v>
      </c>
      <c r="J48" s="104" t="s">
        <v>349</v>
      </c>
      <c r="K48" s="15" t="s">
        <v>350</v>
      </c>
      <c r="L48" s="26"/>
      <c r="M48" s="55">
        <v>115777800</v>
      </c>
      <c r="N48" s="50">
        <v>62718</v>
      </c>
      <c r="O48" s="50"/>
      <c r="P48" s="48">
        <v>0</v>
      </c>
      <c r="Q48" s="21">
        <f t="shared" si="0"/>
        <v>115777800</v>
      </c>
      <c r="R48" s="55">
        <v>40522230</v>
      </c>
      <c r="S48" s="23">
        <f t="shared" si="1"/>
        <v>75255570</v>
      </c>
      <c r="T48" s="21"/>
      <c r="U48" s="26">
        <v>43210</v>
      </c>
      <c r="V48" s="26">
        <v>43210</v>
      </c>
      <c r="W48" s="25">
        <v>43448</v>
      </c>
      <c r="X48" s="25"/>
      <c r="Y48" s="37"/>
      <c r="Z48" s="37"/>
      <c r="AA48" s="37"/>
      <c r="AB48" s="15" t="s">
        <v>51</v>
      </c>
      <c r="AC48" s="26">
        <v>43516</v>
      </c>
      <c r="AD48" s="26" t="s">
        <v>52</v>
      </c>
      <c r="AE48" s="26" t="s">
        <v>53</v>
      </c>
      <c r="AF48" s="110"/>
      <c r="AG48" s="29" t="s">
        <v>137</v>
      </c>
      <c r="AH48" s="27" t="s">
        <v>216</v>
      </c>
      <c r="AI48" s="106"/>
      <c r="AJ48" s="28">
        <v>80804610</v>
      </c>
      <c r="AK48" s="29" t="s">
        <v>126</v>
      </c>
      <c r="AL48" s="29">
        <v>43216</v>
      </c>
      <c r="AM48" s="27" t="s">
        <v>127</v>
      </c>
      <c r="AN48" s="32" t="s">
        <v>351</v>
      </c>
      <c r="AO48" s="57" t="s">
        <v>352</v>
      </c>
      <c r="AP48" s="33">
        <v>0.75</v>
      </c>
      <c r="AQ48" s="108">
        <f>23155560+57888900+5788890</f>
        <v>86833350</v>
      </c>
      <c r="AR48" s="53" t="s">
        <v>353</v>
      </c>
      <c r="AS48" s="59" t="s">
        <v>354</v>
      </c>
      <c r="AT48" s="31" t="s">
        <v>355</v>
      </c>
    </row>
    <row r="49" spans="1:47" ht="45" x14ac:dyDescent="0.25">
      <c r="A49" s="14" t="s">
        <v>356</v>
      </c>
      <c r="B49" s="15" t="s">
        <v>176</v>
      </c>
      <c r="C49" s="15" t="s">
        <v>357</v>
      </c>
      <c r="D49" s="15" t="s">
        <v>196</v>
      </c>
      <c r="E49" s="15" t="s">
        <v>85</v>
      </c>
      <c r="F49" s="16" t="s">
        <v>358</v>
      </c>
      <c r="G49" s="17">
        <v>900646665</v>
      </c>
      <c r="H49" s="17">
        <v>5</v>
      </c>
      <c r="I49" s="49" t="s">
        <v>359</v>
      </c>
      <c r="J49" s="104"/>
      <c r="K49" s="15"/>
      <c r="L49" s="26"/>
      <c r="M49" s="22">
        <v>36617582</v>
      </c>
      <c r="N49" s="50">
        <v>62818</v>
      </c>
      <c r="O49" s="50"/>
      <c r="P49" s="51">
        <v>0</v>
      </c>
      <c r="Q49" s="21">
        <f t="shared" si="0"/>
        <v>36617582</v>
      </c>
      <c r="R49" s="21">
        <v>29294066</v>
      </c>
      <c r="S49" s="23">
        <f t="shared" si="1"/>
        <v>7323516</v>
      </c>
      <c r="T49" s="112"/>
      <c r="U49" s="26">
        <v>43210</v>
      </c>
      <c r="V49" s="26">
        <v>43213</v>
      </c>
      <c r="W49" s="25">
        <v>43465</v>
      </c>
      <c r="X49" s="25"/>
      <c r="Y49" s="25">
        <f>W49+120</f>
        <v>43585</v>
      </c>
      <c r="Z49" s="25"/>
      <c r="AA49" s="25"/>
      <c r="AB49" s="15" t="s">
        <v>51</v>
      </c>
      <c r="AC49" s="26">
        <v>43637</v>
      </c>
      <c r="AD49" s="26"/>
      <c r="AE49" s="26"/>
      <c r="AF49" s="110"/>
      <c r="AG49" s="29" t="s">
        <v>335</v>
      </c>
      <c r="AH49" s="29" t="s">
        <v>360</v>
      </c>
      <c r="AI49" s="29">
        <v>43215</v>
      </c>
      <c r="AJ49" s="70">
        <v>51826804</v>
      </c>
      <c r="AK49" s="29" t="s">
        <v>322</v>
      </c>
      <c r="AL49" s="29">
        <v>43213</v>
      </c>
      <c r="AM49" s="27" t="s">
        <v>361</v>
      </c>
      <c r="AN49" s="32" t="s">
        <v>362</v>
      </c>
      <c r="AO49" s="27" t="s">
        <v>363</v>
      </c>
      <c r="AP49" s="33">
        <v>1.25</v>
      </c>
      <c r="AQ49" s="80">
        <v>45771277</v>
      </c>
      <c r="AR49" s="35" t="s">
        <v>364</v>
      </c>
      <c r="AS49" s="59" t="s">
        <v>365</v>
      </c>
      <c r="AT49" s="31" t="s">
        <v>366</v>
      </c>
    </row>
    <row r="50" spans="1:47" ht="45" x14ac:dyDescent="0.25">
      <c r="A50" s="14" t="s">
        <v>367</v>
      </c>
      <c r="B50" s="15" t="s">
        <v>176</v>
      </c>
      <c r="C50" s="15" t="s">
        <v>368</v>
      </c>
      <c r="D50" s="15" t="s">
        <v>196</v>
      </c>
      <c r="E50" s="15" t="s">
        <v>66</v>
      </c>
      <c r="F50" s="16" t="s">
        <v>369</v>
      </c>
      <c r="G50" s="17">
        <v>800132210</v>
      </c>
      <c r="H50" s="17">
        <v>9</v>
      </c>
      <c r="I50" s="49" t="s">
        <v>370</v>
      </c>
      <c r="J50" s="104"/>
      <c r="K50" s="15"/>
      <c r="L50" s="26"/>
      <c r="M50" s="22">
        <v>30000000</v>
      </c>
      <c r="N50" s="50">
        <v>62918</v>
      </c>
      <c r="O50" s="113">
        <v>43444</v>
      </c>
      <c r="P50" s="114">
        <v>0</v>
      </c>
      <c r="Q50" s="21">
        <f>M50+P50</f>
        <v>30000000</v>
      </c>
      <c r="R50" s="21">
        <f>N50+Q50</f>
        <v>30062918</v>
      </c>
      <c r="S50" s="23">
        <v>0</v>
      </c>
      <c r="T50" s="115">
        <v>0</v>
      </c>
      <c r="U50" s="26">
        <v>43210</v>
      </c>
      <c r="V50" s="26">
        <v>43216</v>
      </c>
      <c r="W50" s="25">
        <v>43444</v>
      </c>
      <c r="X50" s="25"/>
      <c r="Y50" s="25">
        <f>Z50+120</f>
        <v>43644</v>
      </c>
      <c r="Z50" s="25">
        <v>43524</v>
      </c>
      <c r="AA50" s="25"/>
      <c r="AB50" s="15" t="s">
        <v>51</v>
      </c>
      <c r="AC50" s="26">
        <v>43560</v>
      </c>
      <c r="AD50" s="26"/>
      <c r="AE50" s="26" t="s">
        <v>53</v>
      </c>
      <c r="AF50" s="110"/>
      <c r="AG50" s="29" t="s">
        <v>335</v>
      </c>
      <c r="AH50" s="29" t="s">
        <v>371</v>
      </c>
      <c r="AI50" s="29">
        <v>43220</v>
      </c>
      <c r="AJ50" s="116">
        <v>52465687</v>
      </c>
      <c r="AK50" s="29" t="s">
        <v>322</v>
      </c>
      <c r="AL50" s="29">
        <v>43216</v>
      </c>
      <c r="AM50" s="27" t="s">
        <v>372</v>
      </c>
      <c r="AN50" s="32" t="s">
        <v>373</v>
      </c>
      <c r="AO50" s="27" t="s">
        <v>374</v>
      </c>
      <c r="AP50" s="33">
        <v>0.75</v>
      </c>
      <c r="AQ50" s="80">
        <v>22500000</v>
      </c>
      <c r="AR50" s="35" t="s">
        <v>375</v>
      </c>
      <c r="AS50" s="59" t="s">
        <v>376</v>
      </c>
      <c r="AT50" s="31" t="s">
        <v>377</v>
      </c>
    </row>
    <row r="51" spans="1:47" ht="45" x14ac:dyDescent="0.25">
      <c r="A51" s="14" t="s">
        <v>378</v>
      </c>
      <c r="B51" s="15" t="s">
        <v>176</v>
      </c>
      <c r="C51" s="15" t="s">
        <v>368</v>
      </c>
      <c r="D51" s="15" t="s">
        <v>196</v>
      </c>
      <c r="E51" s="15" t="s">
        <v>66</v>
      </c>
      <c r="F51" s="16" t="s">
        <v>369</v>
      </c>
      <c r="G51" s="17">
        <v>800132210</v>
      </c>
      <c r="H51" s="17">
        <v>9</v>
      </c>
      <c r="I51" s="49" t="s">
        <v>370</v>
      </c>
      <c r="J51" s="104"/>
      <c r="K51" s="15"/>
      <c r="L51" s="26"/>
      <c r="M51" s="22"/>
      <c r="N51" s="50"/>
      <c r="O51" s="113"/>
      <c r="P51" s="22">
        <v>3414000</v>
      </c>
      <c r="Q51" s="21"/>
      <c r="R51" s="21"/>
      <c r="S51" s="23"/>
      <c r="T51" s="115"/>
      <c r="U51" s="26"/>
      <c r="V51" s="26"/>
      <c r="W51" s="25">
        <v>43444</v>
      </c>
      <c r="X51" s="25"/>
      <c r="Y51" s="25">
        <f t="shared" ref="Y51:Y52" si="3">Z51+120</f>
        <v>43644</v>
      </c>
      <c r="Z51" s="25">
        <v>43524</v>
      </c>
      <c r="AA51" s="25"/>
      <c r="AB51" s="15" t="s">
        <v>51</v>
      </c>
      <c r="AC51" s="26">
        <v>43560</v>
      </c>
      <c r="AD51" s="26"/>
      <c r="AE51" s="26" t="s">
        <v>53</v>
      </c>
      <c r="AF51" s="110"/>
      <c r="AG51" s="29" t="s">
        <v>335</v>
      </c>
      <c r="AH51" s="29" t="s">
        <v>371</v>
      </c>
      <c r="AI51" s="29"/>
      <c r="AJ51" s="116"/>
      <c r="AK51" s="29"/>
      <c r="AL51" s="29"/>
      <c r="AM51" s="27"/>
      <c r="AN51" s="32"/>
      <c r="AO51" s="27"/>
      <c r="AP51" s="33"/>
      <c r="AQ51" s="80"/>
      <c r="AR51" s="35">
        <v>4300002294</v>
      </c>
      <c r="AS51" s="59"/>
      <c r="AT51" s="31"/>
    </row>
    <row r="52" spans="1:47" ht="45" x14ac:dyDescent="0.25">
      <c r="A52" s="14" t="s">
        <v>379</v>
      </c>
      <c r="B52" s="15" t="s">
        <v>176</v>
      </c>
      <c r="C52" s="15" t="s">
        <v>368</v>
      </c>
      <c r="D52" s="15" t="s">
        <v>196</v>
      </c>
      <c r="E52" s="15" t="s">
        <v>66</v>
      </c>
      <c r="F52" s="16" t="s">
        <v>369</v>
      </c>
      <c r="G52" s="17">
        <v>800132210</v>
      </c>
      <c r="H52" s="17">
        <v>9</v>
      </c>
      <c r="I52" s="49" t="s">
        <v>370</v>
      </c>
      <c r="J52" s="104"/>
      <c r="K52" s="15"/>
      <c r="L52" s="26"/>
      <c r="M52" s="22"/>
      <c r="N52" s="50"/>
      <c r="O52" s="113"/>
      <c r="P52" s="22">
        <v>2000000</v>
      </c>
      <c r="Q52" s="21"/>
      <c r="R52" s="21"/>
      <c r="S52" s="23"/>
      <c r="T52" s="115"/>
      <c r="U52" s="26"/>
      <c r="V52" s="26"/>
      <c r="W52" s="25">
        <v>43444</v>
      </c>
      <c r="X52" s="25"/>
      <c r="Y52" s="25">
        <f t="shared" si="3"/>
        <v>43644</v>
      </c>
      <c r="Z52" s="25">
        <v>43524</v>
      </c>
      <c r="AA52" s="25"/>
      <c r="AB52" s="15" t="s">
        <v>51</v>
      </c>
      <c r="AC52" s="26">
        <v>43560</v>
      </c>
      <c r="AD52" s="26"/>
      <c r="AE52" s="26" t="s">
        <v>53</v>
      </c>
      <c r="AF52" s="110"/>
      <c r="AG52" s="29" t="s">
        <v>335</v>
      </c>
      <c r="AH52" s="29" t="s">
        <v>371</v>
      </c>
      <c r="AI52" s="29"/>
      <c r="AJ52" s="116"/>
      <c r="AK52" s="29"/>
      <c r="AL52" s="29"/>
      <c r="AM52" s="27"/>
      <c r="AN52" s="32"/>
      <c r="AO52" s="27"/>
      <c r="AP52" s="33"/>
      <c r="AQ52" s="80"/>
      <c r="AR52" s="35">
        <v>4300002440</v>
      </c>
      <c r="AS52" s="59"/>
      <c r="AT52" s="31"/>
    </row>
    <row r="53" spans="1:47" ht="22.5" x14ac:dyDescent="0.25">
      <c r="A53" s="14" t="s">
        <v>380</v>
      </c>
      <c r="B53" s="15" t="s">
        <v>176</v>
      </c>
      <c r="C53" s="15" t="s">
        <v>381</v>
      </c>
      <c r="D53" s="15" t="s">
        <v>196</v>
      </c>
      <c r="E53" s="15" t="s">
        <v>85</v>
      </c>
      <c r="F53" s="16" t="s">
        <v>382</v>
      </c>
      <c r="G53" s="17">
        <v>900627060</v>
      </c>
      <c r="H53" s="17">
        <v>9</v>
      </c>
      <c r="I53" s="49" t="s">
        <v>383</v>
      </c>
      <c r="J53" s="104"/>
      <c r="K53" s="15"/>
      <c r="L53" s="26"/>
      <c r="M53" s="22">
        <v>15000000</v>
      </c>
      <c r="N53" s="50">
        <v>63018</v>
      </c>
      <c r="O53" s="50"/>
      <c r="P53" s="51">
        <v>0</v>
      </c>
      <c r="Q53" s="21">
        <f t="shared" si="0"/>
        <v>15000000</v>
      </c>
      <c r="R53" s="23">
        <v>321300</v>
      </c>
      <c r="S53" s="23">
        <f t="shared" si="1"/>
        <v>14678700</v>
      </c>
      <c r="T53" s="115">
        <v>0</v>
      </c>
      <c r="U53" s="26">
        <v>43210</v>
      </c>
      <c r="V53" s="26">
        <v>43213</v>
      </c>
      <c r="W53" s="25">
        <v>43444</v>
      </c>
      <c r="X53" s="25"/>
      <c r="Y53" s="25">
        <f>W53+120</f>
        <v>43564</v>
      </c>
      <c r="Z53" s="25"/>
      <c r="AA53" s="25"/>
      <c r="AB53" s="15" t="s">
        <v>51</v>
      </c>
      <c r="AC53" s="26">
        <v>43536</v>
      </c>
      <c r="AD53" s="26" t="s">
        <v>52</v>
      </c>
      <c r="AE53" s="26" t="s">
        <v>53</v>
      </c>
      <c r="AF53" s="110"/>
      <c r="AG53" s="29" t="s">
        <v>335</v>
      </c>
      <c r="AH53" s="29" t="s">
        <v>384</v>
      </c>
      <c r="AI53" s="29">
        <v>43220</v>
      </c>
      <c r="AJ53" s="70">
        <v>53114465</v>
      </c>
      <c r="AK53" s="29" t="s">
        <v>385</v>
      </c>
      <c r="AL53" s="29">
        <v>43213</v>
      </c>
      <c r="AM53" s="27" t="s">
        <v>323</v>
      </c>
      <c r="AN53" s="70" t="s">
        <v>386</v>
      </c>
      <c r="AO53" s="27" t="s">
        <v>387</v>
      </c>
      <c r="AP53" s="33">
        <v>0.85</v>
      </c>
      <c r="AQ53" s="80">
        <f>12750000+256248400</f>
        <v>268998400</v>
      </c>
      <c r="AR53" s="53" t="s">
        <v>388</v>
      </c>
      <c r="AS53" s="59" t="s">
        <v>389</v>
      </c>
      <c r="AT53" s="31" t="s">
        <v>390</v>
      </c>
    </row>
    <row r="54" spans="1:47" ht="22.5" x14ac:dyDescent="0.25">
      <c r="A54" s="14" t="s">
        <v>391</v>
      </c>
      <c r="B54" s="15" t="s">
        <v>176</v>
      </c>
      <c r="C54" s="15" t="s">
        <v>392</v>
      </c>
      <c r="D54" s="14" t="s">
        <v>393</v>
      </c>
      <c r="E54" s="15" t="s">
        <v>332</v>
      </c>
      <c r="F54" s="16" t="s">
        <v>333</v>
      </c>
      <c r="G54" s="17">
        <v>800219876</v>
      </c>
      <c r="H54" s="17">
        <v>9</v>
      </c>
      <c r="I54" s="18" t="s">
        <v>334</v>
      </c>
      <c r="J54" s="104"/>
      <c r="K54" s="15"/>
      <c r="L54" s="26"/>
      <c r="M54" s="22">
        <v>50780730</v>
      </c>
      <c r="N54" s="50"/>
      <c r="O54" s="50"/>
      <c r="P54" s="23"/>
      <c r="Q54" s="21">
        <f t="shared" si="0"/>
        <v>50780730</v>
      </c>
      <c r="R54" s="22">
        <f t="shared" ref="R54:R58" si="4">+M54+P54</f>
        <v>50780730</v>
      </c>
      <c r="S54" s="23">
        <f t="shared" si="1"/>
        <v>0</v>
      </c>
      <c r="T54" s="115"/>
      <c r="U54" s="26">
        <v>43210</v>
      </c>
      <c r="V54" s="26"/>
      <c r="W54" s="25">
        <v>43220</v>
      </c>
      <c r="X54" s="25"/>
      <c r="Y54" s="25"/>
      <c r="Z54" s="25"/>
      <c r="AA54" s="25"/>
      <c r="AB54" s="26" t="s">
        <v>51</v>
      </c>
      <c r="AC54" s="26">
        <v>43395</v>
      </c>
      <c r="AD54" s="26" t="s">
        <v>52</v>
      </c>
      <c r="AE54" s="26"/>
      <c r="AF54" s="110"/>
      <c r="AG54" s="29" t="s">
        <v>335</v>
      </c>
      <c r="AH54" s="29"/>
      <c r="AI54" s="29"/>
      <c r="AJ54" s="28"/>
      <c r="AK54" s="29"/>
      <c r="AL54" s="29"/>
      <c r="AM54" s="31"/>
      <c r="AN54" s="32"/>
      <c r="AO54" s="27"/>
      <c r="AP54" s="33"/>
      <c r="AQ54" s="80"/>
      <c r="AR54" s="35" t="s">
        <v>394</v>
      </c>
      <c r="AS54" s="59" t="s">
        <v>341</v>
      </c>
      <c r="AT54" s="31"/>
    </row>
    <row r="55" spans="1:47" ht="22.5" x14ac:dyDescent="0.25">
      <c r="A55" s="14" t="s">
        <v>395</v>
      </c>
      <c r="B55" s="15" t="s">
        <v>176</v>
      </c>
      <c r="C55" s="15" t="s">
        <v>396</v>
      </c>
      <c r="D55" s="14" t="s">
        <v>266</v>
      </c>
      <c r="E55" s="15" t="s">
        <v>332</v>
      </c>
      <c r="F55" s="16" t="s">
        <v>333</v>
      </c>
      <c r="G55" s="17">
        <v>800219876</v>
      </c>
      <c r="H55" s="17">
        <v>9</v>
      </c>
      <c r="I55" s="18" t="s">
        <v>334</v>
      </c>
      <c r="J55" s="104"/>
      <c r="K55" s="15"/>
      <c r="L55" s="26"/>
      <c r="M55" s="22">
        <v>50000000</v>
      </c>
      <c r="N55" s="50"/>
      <c r="O55" s="50"/>
      <c r="P55" s="23"/>
      <c r="Q55" s="21">
        <f t="shared" si="0"/>
        <v>50000000</v>
      </c>
      <c r="R55" s="22">
        <f t="shared" si="4"/>
        <v>50000000</v>
      </c>
      <c r="S55" s="23">
        <f t="shared" si="1"/>
        <v>0</v>
      </c>
      <c r="T55" s="115"/>
      <c r="U55" s="26">
        <v>43210</v>
      </c>
      <c r="V55" s="26"/>
      <c r="W55" s="25">
        <v>43220</v>
      </c>
      <c r="X55" s="25"/>
      <c r="Y55" s="25"/>
      <c r="Z55" s="25"/>
      <c r="AA55" s="25"/>
      <c r="AB55" s="26" t="s">
        <v>51</v>
      </c>
      <c r="AC55" s="26">
        <v>43395</v>
      </c>
      <c r="AD55" s="26" t="s">
        <v>52</v>
      </c>
      <c r="AE55" s="26"/>
      <c r="AF55" s="110"/>
      <c r="AG55" s="29" t="s">
        <v>335</v>
      </c>
      <c r="AH55" s="29"/>
      <c r="AI55" s="29"/>
      <c r="AJ55" s="28"/>
      <c r="AK55" s="29"/>
      <c r="AL55" s="29"/>
      <c r="AM55" s="31"/>
      <c r="AN55" s="32"/>
      <c r="AO55" s="27"/>
      <c r="AP55" s="33"/>
      <c r="AQ55" s="80"/>
      <c r="AR55" s="35" t="s">
        <v>397</v>
      </c>
      <c r="AS55" s="59"/>
      <c r="AT55" s="31"/>
    </row>
    <row r="56" spans="1:47" ht="45" x14ac:dyDescent="0.25">
      <c r="A56" s="14" t="s">
        <v>398</v>
      </c>
      <c r="B56" s="15" t="s">
        <v>399</v>
      </c>
      <c r="C56" s="15" t="s">
        <v>400</v>
      </c>
      <c r="D56" s="14" t="s">
        <v>266</v>
      </c>
      <c r="E56" s="15" t="s">
        <v>298</v>
      </c>
      <c r="F56" s="16" t="s">
        <v>333</v>
      </c>
      <c r="G56" s="17">
        <v>800219876</v>
      </c>
      <c r="H56" s="17">
        <v>9</v>
      </c>
      <c r="I56" s="18" t="s">
        <v>401</v>
      </c>
      <c r="J56" s="104" t="s">
        <v>349</v>
      </c>
      <c r="K56" s="15" t="s">
        <v>350</v>
      </c>
      <c r="L56" s="26"/>
      <c r="M56" s="55">
        <v>1000000000</v>
      </c>
      <c r="N56" s="50">
        <v>14418</v>
      </c>
      <c r="O56" s="50"/>
      <c r="P56" s="21">
        <v>500000000</v>
      </c>
      <c r="Q56" s="21">
        <f t="shared" si="0"/>
        <v>1500000000</v>
      </c>
      <c r="R56" s="55">
        <v>1049271097</v>
      </c>
      <c r="S56" s="23">
        <f t="shared" si="1"/>
        <v>450728903</v>
      </c>
      <c r="T56" s="115"/>
      <c r="U56" s="26">
        <v>43213</v>
      </c>
      <c r="V56" s="26">
        <v>43213</v>
      </c>
      <c r="W56" s="25">
        <v>43465</v>
      </c>
      <c r="X56" s="25"/>
      <c r="Y56" s="37"/>
      <c r="Z56" s="15"/>
      <c r="AA56" s="15"/>
      <c r="AB56" s="15" t="s">
        <v>51</v>
      </c>
      <c r="AC56" s="26">
        <v>44003</v>
      </c>
      <c r="AD56" s="26"/>
      <c r="AE56" s="26" t="s">
        <v>53</v>
      </c>
      <c r="AF56" s="26"/>
      <c r="AG56" s="29" t="s">
        <v>156</v>
      </c>
      <c r="AH56" s="29" t="s">
        <v>402</v>
      </c>
      <c r="AI56" s="106"/>
      <c r="AJ56" s="28">
        <v>52482856</v>
      </c>
      <c r="AK56" s="29" t="s">
        <v>126</v>
      </c>
      <c r="AL56" s="29">
        <v>43231</v>
      </c>
      <c r="AM56" s="31" t="s">
        <v>403</v>
      </c>
      <c r="AN56" s="32" t="s">
        <v>404</v>
      </c>
      <c r="AO56" s="57" t="s">
        <v>305</v>
      </c>
      <c r="AP56" s="107" t="s">
        <v>405</v>
      </c>
      <c r="AQ56" s="108">
        <f>300000000+500000000+150000000+50000000+156248400</f>
        <v>1156248400</v>
      </c>
      <c r="AR56" s="53" t="s">
        <v>406</v>
      </c>
      <c r="AS56" s="59" t="s">
        <v>407</v>
      </c>
      <c r="AT56" s="31" t="s">
        <v>408</v>
      </c>
    </row>
    <row r="57" spans="1:47" ht="45" x14ac:dyDescent="0.25">
      <c r="A57" s="14" t="s">
        <v>409</v>
      </c>
      <c r="B57" s="15" t="s">
        <v>399</v>
      </c>
      <c r="C57" s="15" t="s">
        <v>400</v>
      </c>
      <c r="D57" s="14" t="s">
        <v>266</v>
      </c>
      <c r="E57" s="15" t="s">
        <v>298</v>
      </c>
      <c r="F57" s="16" t="s">
        <v>410</v>
      </c>
      <c r="G57" s="17">
        <v>811009788</v>
      </c>
      <c r="H57" s="17">
        <v>8</v>
      </c>
      <c r="I57" s="18" t="s">
        <v>411</v>
      </c>
      <c r="J57" s="104" t="s">
        <v>349</v>
      </c>
      <c r="K57" s="15" t="s">
        <v>350</v>
      </c>
      <c r="L57" s="26"/>
      <c r="M57" s="55">
        <v>9200000000</v>
      </c>
      <c r="N57" s="50">
        <v>14418</v>
      </c>
      <c r="O57" s="50"/>
      <c r="P57" s="21">
        <v>3000000000</v>
      </c>
      <c r="Q57" s="21">
        <f t="shared" si="0"/>
        <v>12200000000</v>
      </c>
      <c r="R57" s="55">
        <v>5502806079</v>
      </c>
      <c r="S57" s="23">
        <f t="shared" si="1"/>
        <v>6697193921</v>
      </c>
      <c r="T57" s="115"/>
      <c r="U57" s="26">
        <v>43214</v>
      </c>
      <c r="V57" s="26">
        <v>43214</v>
      </c>
      <c r="W57" s="25">
        <v>43465</v>
      </c>
      <c r="X57" s="25"/>
      <c r="Y57" s="37"/>
      <c r="Z57" s="25">
        <v>43524</v>
      </c>
      <c r="AA57" s="25"/>
      <c r="AB57" s="15" t="s">
        <v>51</v>
      </c>
      <c r="AC57" s="26">
        <v>43742</v>
      </c>
      <c r="AD57" s="26"/>
      <c r="AE57" s="26"/>
      <c r="AF57" s="105"/>
      <c r="AG57" s="29" t="s">
        <v>412</v>
      </c>
      <c r="AH57" s="29" t="s">
        <v>413</v>
      </c>
      <c r="AI57" s="106"/>
      <c r="AJ57" s="28"/>
      <c r="AK57" s="29" t="s">
        <v>126</v>
      </c>
      <c r="AL57" s="29">
        <v>43243</v>
      </c>
      <c r="AM57" s="31" t="s">
        <v>414</v>
      </c>
      <c r="AN57" s="32">
        <v>2913189</v>
      </c>
      <c r="AO57" s="57" t="s">
        <v>305</v>
      </c>
      <c r="AP57" s="107" t="s">
        <v>405</v>
      </c>
      <c r="AQ57" s="108">
        <f>2760000000+4600000000+1380000000+460000000+460000000</f>
        <v>9660000000</v>
      </c>
      <c r="AR57" s="35" t="s">
        <v>415</v>
      </c>
      <c r="AS57" s="59" t="s">
        <v>416</v>
      </c>
      <c r="AT57" s="31" t="s">
        <v>417</v>
      </c>
    </row>
    <row r="58" spans="1:47" ht="22.5" x14ac:dyDescent="0.25">
      <c r="A58" s="14" t="s">
        <v>418</v>
      </c>
      <c r="B58" s="15" t="s">
        <v>288</v>
      </c>
      <c r="C58" s="15" t="s">
        <v>419</v>
      </c>
      <c r="D58" s="15" t="s">
        <v>196</v>
      </c>
      <c r="E58" s="15" t="s">
        <v>120</v>
      </c>
      <c r="F58" s="16" t="s">
        <v>420</v>
      </c>
      <c r="G58" s="17">
        <v>891501783</v>
      </c>
      <c r="H58" s="17">
        <v>1</v>
      </c>
      <c r="I58" s="18" t="s">
        <v>421</v>
      </c>
      <c r="J58" s="104" t="s">
        <v>349</v>
      </c>
      <c r="K58" s="15" t="s">
        <v>350</v>
      </c>
      <c r="L58" s="26"/>
      <c r="M58" s="55">
        <v>120000000</v>
      </c>
      <c r="N58" s="50">
        <v>13018</v>
      </c>
      <c r="O58" s="50"/>
      <c r="P58" s="21">
        <v>0</v>
      </c>
      <c r="Q58" s="21">
        <f t="shared" si="0"/>
        <v>120000000</v>
      </c>
      <c r="R58" s="55">
        <f t="shared" si="4"/>
        <v>120000000</v>
      </c>
      <c r="S58" s="23">
        <f t="shared" si="1"/>
        <v>0</v>
      </c>
      <c r="T58" s="115"/>
      <c r="U58" s="26">
        <v>43214</v>
      </c>
      <c r="V58" s="26">
        <v>43214</v>
      </c>
      <c r="W58" s="38" t="s">
        <v>422</v>
      </c>
      <c r="X58" s="38"/>
      <c r="Y58" s="117"/>
      <c r="Z58" s="37"/>
      <c r="AA58" s="37"/>
      <c r="AB58" s="15" t="s">
        <v>51</v>
      </c>
      <c r="AC58" s="26">
        <v>43297</v>
      </c>
      <c r="AD58" s="26" t="s">
        <v>52</v>
      </c>
      <c r="AE58" s="26" t="s">
        <v>53</v>
      </c>
      <c r="AF58" s="110"/>
      <c r="AG58" s="29" t="s">
        <v>137</v>
      </c>
      <c r="AH58" s="29" t="s">
        <v>423</v>
      </c>
      <c r="AI58" s="106"/>
      <c r="AJ58" s="28">
        <v>1014240338</v>
      </c>
      <c r="AK58" s="29" t="s">
        <v>126</v>
      </c>
      <c r="AL58" s="29">
        <v>43222</v>
      </c>
      <c r="AM58" s="31" t="s">
        <v>424</v>
      </c>
      <c r="AN58" s="32" t="s">
        <v>425</v>
      </c>
      <c r="AO58" s="57" t="s">
        <v>352</v>
      </c>
      <c r="AP58" s="118">
        <v>0.75</v>
      </c>
      <c r="AQ58" s="58">
        <f>30000000+60000000+60000000+6000000</f>
        <v>156000000</v>
      </c>
      <c r="AR58" s="35" t="s">
        <v>426</v>
      </c>
      <c r="AS58" s="59"/>
      <c r="AT58" s="31" t="s">
        <v>427</v>
      </c>
    </row>
    <row r="59" spans="1:47" ht="33.75" x14ac:dyDescent="0.25">
      <c r="A59" s="14" t="s">
        <v>428</v>
      </c>
      <c r="B59" s="15" t="s">
        <v>288</v>
      </c>
      <c r="C59" s="15" t="s">
        <v>429</v>
      </c>
      <c r="D59" s="15" t="s">
        <v>196</v>
      </c>
      <c r="E59" s="15" t="s">
        <v>120</v>
      </c>
      <c r="F59" s="16" t="s">
        <v>430</v>
      </c>
      <c r="G59" s="17">
        <v>860012336</v>
      </c>
      <c r="H59" s="17">
        <v>1</v>
      </c>
      <c r="I59" s="18" t="s">
        <v>431</v>
      </c>
      <c r="J59" s="104" t="s">
        <v>349</v>
      </c>
      <c r="K59" s="15" t="s">
        <v>350</v>
      </c>
      <c r="L59" s="26"/>
      <c r="M59" s="55">
        <v>300000000</v>
      </c>
      <c r="N59" s="50">
        <v>72018</v>
      </c>
      <c r="O59" s="50"/>
      <c r="P59" s="48">
        <f>8755393+141244607</f>
        <v>150000000</v>
      </c>
      <c r="Q59" s="21">
        <f t="shared" si="0"/>
        <v>450000000</v>
      </c>
      <c r="R59" s="55">
        <f>128551838+123421583</f>
        <v>251973421</v>
      </c>
      <c r="S59" s="23">
        <f t="shared" si="1"/>
        <v>198026579</v>
      </c>
      <c r="T59" s="115"/>
      <c r="U59" s="26">
        <v>43230</v>
      </c>
      <c r="V59" s="26">
        <v>43230</v>
      </c>
      <c r="W59" s="25">
        <v>43434</v>
      </c>
      <c r="X59" s="25"/>
      <c r="Y59" s="37"/>
      <c r="Z59" s="37"/>
      <c r="AA59" s="37"/>
      <c r="AB59" s="15" t="s">
        <v>51</v>
      </c>
      <c r="AC59" s="26">
        <v>43558</v>
      </c>
      <c r="AD59" s="26" t="s">
        <v>52</v>
      </c>
      <c r="AE59" s="26" t="s">
        <v>53</v>
      </c>
      <c r="AF59" s="110"/>
      <c r="AG59" s="27" t="s">
        <v>137</v>
      </c>
      <c r="AH59" s="29" t="s">
        <v>432</v>
      </c>
      <c r="AI59" s="106"/>
      <c r="AJ59" s="28"/>
      <c r="AK59" s="29" t="s">
        <v>126</v>
      </c>
      <c r="AL59" s="29">
        <v>43230</v>
      </c>
      <c r="AM59" s="31" t="s">
        <v>433</v>
      </c>
      <c r="AN59" s="32">
        <v>64673</v>
      </c>
      <c r="AO59" s="57" t="s">
        <v>352</v>
      </c>
      <c r="AP59" s="107" t="s">
        <v>434</v>
      </c>
      <c r="AQ59" s="108">
        <f>60000000+150000000+15000000+156248400</f>
        <v>381248400</v>
      </c>
      <c r="AR59" s="53" t="s">
        <v>435</v>
      </c>
      <c r="AS59" s="59"/>
      <c r="AT59" s="31" t="s">
        <v>436</v>
      </c>
    </row>
    <row r="60" spans="1:47" ht="33.75" x14ac:dyDescent="0.25">
      <c r="A60" s="14" t="s">
        <v>437</v>
      </c>
      <c r="B60" s="15" t="s">
        <v>438</v>
      </c>
      <c r="C60" s="15" t="s">
        <v>439</v>
      </c>
      <c r="D60" s="15" t="s">
        <v>196</v>
      </c>
      <c r="E60" s="15" t="s">
        <v>298</v>
      </c>
      <c r="F60" s="16" t="s">
        <v>440</v>
      </c>
      <c r="G60" s="17">
        <v>901173343</v>
      </c>
      <c r="H60" s="17">
        <v>1</v>
      </c>
      <c r="I60" s="18" t="s">
        <v>441</v>
      </c>
      <c r="J60" s="104" t="s">
        <v>349</v>
      </c>
      <c r="K60" s="15" t="s">
        <v>350</v>
      </c>
      <c r="L60" s="26"/>
      <c r="M60" s="55">
        <v>1942668115</v>
      </c>
      <c r="N60" s="50">
        <v>7418</v>
      </c>
      <c r="O60" s="50"/>
      <c r="P60" s="21"/>
      <c r="Q60" s="21">
        <f t="shared" si="0"/>
        <v>1942668115</v>
      </c>
      <c r="R60" s="55">
        <v>1942688115</v>
      </c>
      <c r="S60" s="23">
        <f t="shared" si="1"/>
        <v>-20000</v>
      </c>
      <c r="T60" s="115"/>
      <c r="U60" s="26">
        <v>43216</v>
      </c>
      <c r="V60" s="26">
        <v>43216</v>
      </c>
      <c r="W60" s="25" t="s">
        <v>442</v>
      </c>
      <c r="X60" s="25"/>
      <c r="Y60" s="37"/>
      <c r="Z60" s="25">
        <v>43205</v>
      </c>
      <c r="AA60" s="25"/>
      <c r="AB60" s="15" t="s">
        <v>302</v>
      </c>
      <c r="AC60" s="119">
        <v>43983</v>
      </c>
      <c r="AD60" s="26"/>
      <c r="AE60" s="26"/>
      <c r="AF60" s="26"/>
      <c r="AG60" s="27" t="s">
        <v>137</v>
      </c>
      <c r="AH60" s="29" t="s">
        <v>443</v>
      </c>
      <c r="AI60" s="106"/>
      <c r="AJ60" s="28">
        <v>52550246</v>
      </c>
      <c r="AK60" s="29" t="s">
        <v>126</v>
      </c>
      <c r="AL60" s="29" t="s">
        <v>349</v>
      </c>
      <c r="AM60" s="31" t="s">
        <v>349</v>
      </c>
      <c r="AN60" s="32" t="s">
        <v>349</v>
      </c>
      <c r="AO60" s="27" t="s">
        <v>349</v>
      </c>
      <c r="AP60" s="33" t="s">
        <v>349</v>
      </c>
      <c r="AQ60" s="34" t="s">
        <v>349</v>
      </c>
      <c r="AR60" s="35" t="s">
        <v>444</v>
      </c>
      <c r="AS60" s="59" t="s">
        <v>445</v>
      </c>
      <c r="AT60" s="31" t="s">
        <v>446</v>
      </c>
    </row>
    <row r="61" spans="1:47" ht="45" x14ac:dyDescent="0.25">
      <c r="A61" s="14" t="s">
        <v>447</v>
      </c>
      <c r="B61" s="15" t="s">
        <v>399</v>
      </c>
      <c r="C61" s="15" t="s">
        <v>400</v>
      </c>
      <c r="D61" s="14" t="s">
        <v>266</v>
      </c>
      <c r="E61" s="15" t="s">
        <v>298</v>
      </c>
      <c r="F61" s="16" t="s">
        <v>448</v>
      </c>
      <c r="G61" s="17">
        <v>901174800</v>
      </c>
      <c r="H61" s="17">
        <v>0</v>
      </c>
      <c r="I61" s="18" t="s">
        <v>449</v>
      </c>
      <c r="J61" s="104" t="s">
        <v>349</v>
      </c>
      <c r="K61" s="15" t="s">
        <v>350</v>
      </c>
      <c r="L61" s="26"/>
      <c r="M61" s="55">
        <v>3000000000</v>
      </c>
      <c r="N61" s="50">
        <v>14418</v>
      </c>
      <c r="O61" s="50"/>
      <c r="P61" s="21"/>
      <c r="Q61" s="21">
        <f>+M61+P62+P63+P64+P65+P66</f>
        <v>4500000000</v>
      </c>
      <c r="R61" s="55">
        <v>637097179</v>
      </c>
      <c r="S61" s="23">
        <f t="shared" si="1"/>
        <v>3862902821</v>
      </c>
      <c r="T61" s="115"/>
      <c r="U61" s="26">
        <v>43217</v>
      </c>
      <c r="V61" s="26">
        <v>43217</v>
      </c>
      <c r="W61" s="25">
        <v>43830</v>
      </c>
      <c r="X61" s="25"/>
      <c r="Y61" s="25">
        <f>+W61+120</f>
        <v>43950</v>
      </c>
      <c r="Z61" s="25"/>
      <c r="AA61" s="25"/>
      <c r="AB61" s="15" t="s">
        <v>51</v>
      </c>
      <c r="AC61" s="26">
        <v>43966</v>
      </c>
      <c r="AD61" s="26"/>
      <c r="AE61" s="26"/>
      <c r="AF61" s="105"/>
      <c r="AG61" s="29" t="s">
        <v>156</v>
      </c>
      <c r="AH61" s="29" t="s">
        <v>450</v>
      </c>
      <c r="AI61" s="120"/>
      <c r="AJ61" s="28">
        <v>9099035</v>
      </c>
      <c r="AK61" s="29" t="s">
        <v>126</v>
      </c>
      <c r="AL61" s="29">
        <v>43228</v>
      </c>
      <c r="AM61" s="31" t="s">
        <v>127</v>
      </c>
      <c r="AN61" s="32" t="s">
        <v>451</v>
      </c>
      <c r="AO61" s="57" t="s">
        <v>352</v>
      </c>
      <c r="AP61" s="33">
        <v>1</v>
      </c>
      <c r="AQ61" s="108">
        <f>900000000+1500000000+450000000+150000000+312496800</f>
        <v>3312496800</v>
      </c>
      <c r="AR61" s="35" t="s">
        <v>452</v>
      </c>
      <c r="AS61" s="59" t="s">
        <v>308</v>
      </c>
      <c r="AT61" s="31" t="s">
        <v>453</v>
      </c>
      <c r="AU61" s="3" t="s">
        <v>454</v>
      </c>
    </row>
    <row r="62" spans="1:47" ht="45" x14ac:dyDescent="0.25">
      <c r="A62" s="14" t="s">
        <v>455</v>
      </c>
      <c r="B62" s="15"/>
      <c r="C62" s="15"/>
      <c r="D62" s="14"/>
      <c r="E62" s="15" t="s">
        <v>298</v>
      </c>
      <c r="F62" s="16" t="s">
        <v>448</v>
      </c>
      <c r="G62" s="17">
        <v>901174800</v>
      </c>
      <c r="H62" s="17">
        <v>0</v>
      </c>
      <c r="I62" s="18" t="s">
        <v>449</v>
      </c>
      <c r="J62" s="104" t="s">
        <v>349</v>
      </c>
      <c r="K62" s="15" t="s">
        <v>350</v>
      </c>
      <c r="L62" s="26"/>
      <c r="M62" s="55"/>
      <c r="N62" s="50"/>
      <c r="O62" s="121">
        <v>43644</v>
      </c>
      <c r="P62" s="55">
        <v>500000000</v>
      </c>
      <c r="Q62" s="21"/>
      <c r="R62" s="55"/>
      <c r="S62" s="23">
        <f t="shared" si="1"/>
        <v>0</v>
      </c>
      <c r="T62" s="115"/>
      <c r="U62" s="26"/>
      <c r="V62" s="26"/>
      <c r="W62" s="25"/>
      <c r="X62" s="25"/>
      <c r="Y62" s="25">
        <f>+W62+120</f>
        <v>120</v>
      </c>
      <c r="Z62" s="25">
        <v>43646</v>
      </c>
      <c r="AA62" s="25">
        <v>43830</v>
      </c>
      <c r="AB62" s="15" t="s">
        <v>51</v>
      </c>
      <c r="AC62" s="26">
        <v>43966</v>
      </c>
      <c r="AD62" s="26"/>
      <c r="AE62" s="26"/>
      <c r="AF62" s="105"/>
      <c r="AG62" s="29" t="s">
        <v>156</v>
      </c>
      <c r="AH62" s="29" t="s">
        <v>450</v>
      </c>
      <c r="AI62" s="120"/>
      <c r="AJ62" s="28">
        <v>9099035</v>
      </c>
      <c r="AK62" s="29" t="s">
        <v>126</v>
      </c>
      <c r="AL62" s="29">
        <v>43228</v>
      </c>
      <c r="AM62" s="31" t="s">
        <v>127</v>
      </c>
      <c r="AN62" s="32" t="s">
        <v>451</v>
      </c>
      <c r="AO62" s="57" t="s">
        <v>352</v>
      </c>
      <c r="AP62" s="33">
        <v>1</v>
      </c>
      <c r="AQ62" s="108">
        <f>900000000+1500000000+450000000+150000000+312496800</f>
        <v>3312496800</v>
      </c>
      <c r="AR62" s="35" t="s">
        <v>452</v>
      </c>
      <c r="AS62" s="59" t="s">
        <v>308</v>
      </c>
      <c r="AT62" s="31" t="s">
        <v>453</v>
      </c>
      <c r="AU62" s="3" t="s">
        <v>454</v>
      </c>
    </row>
    <row r="63" spans="1:47" ht="45" x14ac:dyDescent="0.25">
      <c r="A63" s="14" t="s">
        <v>456</v>
      </c>
      <c r="B63" s="15"/>
      <c r="C63" s="15"/>
      <c r="D63" s="14"/>
      <c r="E63" s="15" t="s">
        <v>298</v>
      </c>
      <c r="F63" s="16" t="s">
        <v>448</v>
      </c>
      <c r="G63" s="17">
        <v>901174800</v>
      </c>
      <c r="H63" s="17"/>
      <c r="I63" s="18" t="s">
        <v>449</v>
      </c>
      <c r="J63" s="104" t="s">
        <v>349</v>
      </c>
      <c r="K63" s="15" t="s">
        <v>350</v>
      </c>
      <c r="L63" s="26"/>
      <c r="M63" s="55"/>
      <c r="N63" s="50"/>
      <c r="O63" s="121">
        <v>43707</v>
      </c>
      <c r="P63" s="55">
        <v>200000000</v>
      </c>
      <c r="Q63" s="21"/>
      <c r="R63" s="55"/>
      <c r="S63" s="23"/>
      <c r="T63" s="115"/>
      <c r="U63" s="26"/>
      <c r="V63" s="26"/>
      <c r="W63" s="25"/>
      <c r="X63" s="25"/>
      <c r="Y63" s="37"/>
      <c r="Z63" s="25"/>
      <c r="AA63" s="25"/>
      <c r="AB63" s="15" t="s">
        <v>51</v>
      </c>
      <c r="AC63" s="26">
        <v>43966</v>
      </c>
      <c r="AD63" s="26"/>
      <c r="AE63" s="26"/>
      <c r="AF63" s="105"/>
      <c r="AG63" s="29"/>
      <c r="AH63" s="29"/>
      <c r="AI63" s="120"/>
      <c r="AJ63" s="28"/>
      <c r="AK63" s="29"/>
      <c r="AL63" s="29"/>
      <c r="AM63" s="31"/>
      <c r="AN63" s="32"/>
      <c r="AO63" s="57"/>
      <c r="AP63" s="33"/>
      <c r="AQ63" s="108"/>
      <c r="AR63" s="35"/>
      <c r="AS63" s="59"/>
      <c r="AT63" s="31"/>
      <c r="AU63" s="3" t="s">
        <v>454</v>
      </c>
    </row>
    <row r="64" spans="1:47" ht="45" x14ac:dyDescent="0.25">
      <c r="A64" s="14" t="s">
        <v>457</v>
      </c>
      <c r="B64" s="15"/>
      <c r="C64" s="15"/>
      <c r="D64" s="14"/>
      <c r="E64" s="15" t="s">
        <v>298</v>
      </c>
      <c r="F64" s="16" t="s">
        <v>448</v>
      </c>
      <c r="G64" s="17">
        <v>901174800</v>
      </c>
      <c r="H64" s="17"/>
      <c r="I64" s="18" t="s">
        <v>449</v>
      </c>
      <c r="J64" s="104" t="s">
        <v>349</v>
      </c>
      <c r="K64" s="15" t="s">
        <v>350</v>
      </c>
      <c r="L64" s="26"/>
      <c r="M64" s="55"/>
      <c r="N64" s="50"/>
      <c r="O64" s="121">
        <v>43724</v>
      </c>
      <c r="P64" s="55">
        <v>500000000</v>
      </c>
      <c r="Q64" s="21"/>
      <c r="R64" s="55"/>
      <c r="S64" s="23"/>
      <c r="T64" s="115"/>
      <c r="U64" s="26"/>
      <c r="V64" s="26"/>
      <c r="W64" s="25"/>
      <c r="X64" s="25"/>
      <c r="Y64" s="37"/>
      <c r="Z64" s="25"/>
      <c r="AA64" s="25"/>
      <c r="AB64" s="15" t="s">
        <v>51</v>
      </c>
      <c r="AC64" s="26">
        <v>43966</v>
      </c>
      <c r="AD64" s="26"/>
      <c r="AE64" s="26"/>
      <c r="AF64" s="105"/>
      <c r="AG64" s="29"/>
      <c r="AH64" s="29"/>
      <c r="AI64" s="120"/>
      <c r="AJ64" s="28"/>
      <c r="AK64" s="29"/>
      <c r="AL64" s="29"/>
      <c r="AM64" s="31"/>
      <c r="AN64" s="32"/>
      <c r="AO64" s="57"/>
      <c r="AP64" s="33"/>
      <c r="AQ64" s="108"/>
      <c r="AR64" s="35"/>
      <c r="AS64" s="59"/>
      <c r="AT64" s="31"/>
      <c r="AU64" s="3" t="s">
        <v>454</v>
      </c>
    </row>
    <row r="65" spans="1:47" ht="45" x14ac:dyDescent="0.25">
      <c r="A65" s="14" t="s">
        <v>458</v>
      </c>
      <c r="B65" s="15"/>
      <c r="C65" s="15"/>
      <c r="D65" s="14"/>
      <c r="E65" s="15" t="s">
        <v>298</v>
      </c>
      <c r="F65" s="16" t="s">
        <v>448</v>
      </c>
      <c r="G65" s="17">
        <v>901174800</v>
      </c>
      <c r="H65" s="17"/>
      <c r="I65" s="18" t="s">
        <v>449</v>
      </c>
      <c r="J65" s="104" t="s">
        <v>349</v>
      </c>
      <c r="K65" s="15" t="s">
        <v>350</v>
      </c>
      <c r="L65" s="26"/>
      <c r="M65" s="55"/>
      <c r="N65" s="50"/>
      <c r="O65" s="121">
        <v>43769</v>
      </c>
      <c r="P65" s="55">
        <v>150000000</v>
      </c>
      <c r="Q65" s="21"/>
      <c r="R65" s="55"/>
      <c r="S65" s="23"/>
      <c r="T65" s="115"/>
      <c r="U65" s="26"/>
      <c r="V65" s="26"/>
      <c r="W65" s="25"/>
      <c r="X65" s="25"/>
      <c r="Y65" s="37"/>
      <c r="Z65" s="25"/>
      <c r="AA65" s="25"/>
      <c r="AB65" s="15" t="s">
        <v>51</v>
      </c>
      <c r="AC65" s="26">
        <v>43966</v>
      </c>
      <c r="AD65" s="26"/>
      <c r="AE65" s="26"/>
      <c r="AF65" s="105"/>
      <c r="AG65" s="29"/>
      <c r="AH65" s="29"/>
      <c r="AI65" s="120"/>
      <c r="AJ65" s="28"/>
      <c r="AK65" s="29"/>
      <c r="AL65" s="29"/>
      <c r="AM65" s="31"/>
      <c r="AN65" s="32"/>
      <c r="AO65" s="57"/>
      <c r="AP65" s="33"/>
      <c r="AQ65" s="108"/>
      <c r="AR65" s="35"/>
      <c r="AS65" s="59"/>
      <c r="AT65" s="31"/>
      <c r="AU65" s="3" t="s">
        <v>454</v>
      </c>
    </row>
    <row r="66" spans="1:47" ht="45" x14ac:dyDescent="0.25">
      <c r="A66" s="14" t="s">
        <v>459</v>
      </c>
      <c r="B66" s="15"/>
      <c r="C66" s="15"/>
      <c r="D66" s="14"/>
      <c r="E66" s="15" t="s">
        <v>298</v>
      </c>
      <c r="F66" s="16" t="s">
        <v>448</v>
      </c>
      <c r="G66" s="17">
        <v>901174800</v>
      </c>
      <c r="H66" s="17"/>
      <c r="I66" s="18" t="s">
        <v>449</v>
      </c>
      <c r="J66" s="104" t="s">
        <v>349</v>
      </c>
      <c r="K66" s="15" t="s">
        <v>350</v>
      </c>
      <c r="L66" s="26"/>
      <c r="M66" s="55"/>
      <c r="N66" s="50"/>
      <c r="O66" s="121">
        <v>43789</v>
      </c>
      <c r="P66" s="55">
        <v>150000000</v>
      </c>
      <c r="Q66" s="21"/>
      <c r="R66" s="55"/>
      <c r="S66" s="23"/>
      <c r="T66" s="115"/>
      <c r="U66" s="26"/>
      <c r="V66" s="26"/>
      <c r="W66" s="25"/>
      <c r="X66" s="25"/>
      <c r="Y66" s="37"/>
      <c r="Z66" s="25"/>
      <c r="AA66" s="25"/>
      <c r="AB66" s="15" t="s">
        <v>51</v>
      </c>
      <c r="AC66" s="26">
        <v>43966</v>
      </c>
      <c r="AD66" s="26"/>
      <c r="AE66" s="26"/>
      <c r="AF66" s="105"/>
      <c r="AG66" s="29"/>
      <c r="AH66" s="29"/>
      <c r="AI66" s="120"/>
      <c r="AJ66" s="28"/>
      <c r="AK66" s="29"/>
      <c r="AL66" s="29"/>
      <c r="AM66" s="31"/>
      <c r="AN66" s="32"/>
      <c r="AO66" s="57"/>
      <c r="AP66" s="33"/>
      <c r="AQ66" s="108"/>
      <c r="AR66" s="35"/>
      <c r="AS66" s="59"/>
      <c r="AT66" s="31"/>
      <c r="AU66" s="3" t="s">
        <v>454</v>
      </c>
    </row>
    <row r="67" spans="1:47" ht="45" x14ac:dyDescent="0.25">
      <c r="A67" s="14" t="s">
        <v>460</v>
      </c>
      <c r="B67" s="15" t="s">
        <v>399</v>
      </c>
      <c r="C67" s="15" t="s">
        <v>461</v>
      </c>
      <c r="D67" s="14" t="s">
        <v>266</v>
      </c>
      <c r="E67" s="15" t="s">
        <v>298</v>
      </c>
      <c r="F67" s="16" t="s">
        <v>462</v>
      </c>
      <c r="G67" s="17">
        <v>900108074</v>
      </c>
      <c r="H67" s="17">
        <v>5</v>
      </c>
      <c r="I67" s="18" t="s">
        <v>463</v>
      </c>
      <c r="J67" s="104" t="s">
        <v>349</v>
      </c>
      <c r="K67" s="15" t="s">
        <v>464</v>
      </c>
      <c r="L67" s="26"/>
      <c r="M67" s="55">
        <v>3000000000</v>
      </c>
      <c r="N67" s="50">
        <v>14518</v>
      </c>
      <c r="O67" s="50"/>
      <c r="P67" s="48">
        <f>1000000000+107500000</f>
        <v>1107500000</v>
      </c>
      <c r="Q67" s="21">
        <f t="shared" si="0"/>
        <v>4107500000</v>
      </c>
      <c r="R67" s="55">
        <v>2918235901</v>
      </c>
      <c r="S67" s="23">
        <f t="shared" si="1"/>
        <v>1189264099</v>
      </c>
      <c r="T67" s="115"/>
      <c r="U67" s="26">
        <v>43217</v>
      </c>
      <c r="V67" s="26">
        <v>43217</v>
      </c>
      <c r="W67" s="25">
        <v>43434</v>
      </c>
      <c r="X67" s="25"/>
      <c r="Y67" s="37"/>
      <c r="Z67" s="25">
        <v>43524</v>
      </c>
      <c r="AA67" s="25"/>
      <c r="AB67" s="15" t="s">
        <v>51</v>
      </c>
      <c r="AC67" s="26">
        <v>43655</v>
      </c>
      <c r="AD67" s="26"/>
      <c r="AE67" s="26"/>
      <c r="AF67" s="110"/>
      <c r="AG67" s="27" t="s">
        <v>137</v>
      </c>
      <c r="AH67" s="29" t="s">
        <v>413</v>
      </c>
      <c r="AI67" s="120"/>
      <c r="AJ67" s="28">
        <v>9099035</v>
      </c>
      <c r="AK67" s="29" t="s">
        <v>126</v>
      </c>
      <c r="AL67" s="29">
        <v>43220</v>
      </c>
      <c r="AM67" s="27" t="s">
        <v>465</v>
      </c>
      <c r="AN67" s="32" t="s">
        <v>466</v>
      </c>
      <c r="AO67" s="57" t="s">
        <v>305</v>
      </c>
      <c r="AP67" s="33" t="s">
        <v>434</v>
      </c>
      <c r="AQ67" s="108">
        <f>600000000+1500000000+150000000+360621000</f>
        <v>2610621000</v>
      </c>
      <c r="AR67" s="53" t="s">
        <v>467</v>
      </c>
      <c r="AS67" s="59"/>
      <c r="AT67" s="31" t="s">
        <v>468</v>
      </c>
    </row>
    <row r="68" spans="1:47" ht="34.5" customHeight="1" x14ac:dyDescent="0.25">
      <c r="A68" s="14" t="s">
        <v>469</v>
      </c>
      <c r="B68" s="15" t="s">
        <v>176</v>
      </c>
      <c r="C68" s="15" t="s">
        <v>470</v>
      </c>
      <c r="D68" s="14" t="s">
        <v>266</v>
      </c>
      <c r="E68" s="15" t="s">
        <v>290</v>
      </c>
      <c r="F68" s="16" t="s">
        <v>471</v>
      </c>
      <c r="G68" s="17" t="s">
        <v>472</v>
      </c>
      <c r="H68" s="17"/>
      <c r="I68" s="49" t="s">
        <v>473</v>
      </c>
      <c r="J68" s="104"/>
      <c r="K68" s="15"/>
      <c r="L68" s="26"/>
      <c r="M68" s="22">
        <v>14797189</v>
      </c>
      <c r="N68" s="50">
        <v>76418</v>
      </c>
      <c r="O68" s="50"/>
      <c r="P68" s="51">
        <v>0</v>
      </c>
      <c r="Q68" s="21">
        <f t="shared" si="0"/>
        <v>14797189</v>
      </c>
      <c r="R68" s="22">
        <v>14797189</v>
      </c>
      <c r="S68" s="23">
        <f t="shared" si="1"/>
        <v>0</v>
      </c>
      <c r="T68" s="115">
        <v>0</v>
      </c>
      <c r="U68" s="26">
        <v>43220</v>
      </c>
      <c r="V68" s="26">
        <v>43220</v>
      </c>
      <c r="W68" s="25">
        <v>43434</v>
      </c>
      <c r="X68" s="25"/>
      <c r="Y68" s="25">
        <f>W68+120</f>
        <v>43554</v>
      </c>
      <c r="Z68" s="25"/>
      <c r="AA68" s="25"/>
      <c r="AB68" s="15" t="s">
        <v>51</v>
      </c>
      <c r="AC68" s="26">
        <v>43559</v>
      </c>
      <c r="AD68" s="26" t="s">
        <v>52</v>
      </c>
      <c r="AE68" s="26"/>
      <c r="AF68" s="110"/>
      <c r="AG68" s="29" t="s">
        <v>335</v>
      </c>
      <c r="AH68" s="29" t="s">
        <v>474</v>
      </c>
      <c r="AI68" s="29">
        <v>43222</v>
      </c>
      <c r="AJ68" s="28">
        <v>79592324</v>
      </c>
      <c r="AK68" s="29" t="s">
        <v>322</v>
      </c>
      <c r="AL68" s="29">
        <v>43220</v>
      </c>
      <c r="AM68" s="27" t="s">
        <v>372</v>
      </c>
      <c r="AN68" s="32" t="s">
        <v>475</v>
      </c>
      <c r="AO68" s="27" t="s">
        <v>374</v>
      </c>
      <c r="AP68" s="33">
        <v>0.95</v>
      </c>
      <c r="AQ68" s="80">
        <v>11097841</v>
      </c>
      <c r="AR68" s="32" t="s">
        <v>476</v>
      </c>
      <c r="AS68" s="72" t="s">
        <v>477</v>
      </c>
      <c r="AT68" s="73" t="s">
        <v>478</v>
      </c>
    </row>
    <row r="69" spans="1:47" ht="22.5" x14ac:dyDescent="0.25">
      <c r="A69" s="14" t="s">
        <v>479</v>
      </c>
      <c r="B69" s="15"/>
      <c r="C69" s="15" t="s">
        <v>470</v>
      </c>
      <c r="D69" s="14"/>
      <c r="E69" s="15" t="s">
        <v>290</v>
      </c>
      <c r="F69" s="16" t="s">
        <v>471</v>
      </c>
      <c r="G69" s="17"/>
      <c r="H69" s="17"/>
      <c r="I69" s="49" t="s">
        <v>473</v>
      </c>
      <c r="J69" s="104"/>
      <c r="K69" s="15"/>
      <c r="L69" s="26"/>
      <c r="M69" s="22"/>
      <c r="N69" s="50"/>
      <c r="O69" s="50"/>
      <c r="P69" s="21">
        <v>5069400</v>
      </c>
      <c r="Q69" s="122"/>
      <c r="R69" s="23">
        <v>5069400</v>
      </c>
      <c r="S69" s="23"/>
      <c r="T69" s="115">
        <v>0</v>
      </c>
      <c r="U69" s="26">
        <v>43220</v>
      </c>
      <c r="V69" s="26">
        <v>43220</v>
      </c>
      <c r="W69" s="25">
        <v>43434</v>
      </c>
      <c r="X69" s="25"/>
      <c r="Y69" s="25">
        <v>43189</v>
      </c>
      <c r="Z69" s="25" t="s">
        <v>480</v>
      </c>
      <c r="AA69" s="25"/>
      <c r="AB69" s="15" t="s">
        <v>51</v>
      </c>
      <c r="AC69" s="26">
        <v>43559</v>
      </c>
      <c r="AD69" s="26"/>
      <c r="AE69" s="26" t="s">
        <v>53</v>
      </c>
      <c r="AF69" s="110"/>
      <c r="AG69" s="29" t="s">
        <v>335</v>
      </c>
      <c r="AH69" s="29" t="s">
        <v>474</v>
      </c>
      <c r="AI69" s="29">
        <v>43222</v>
      </c>
      <c r="AJ69" s="28">
        <v>79592324</v>
      </c>
      <c r="AK69" s="29" t="s">
        <v>322</v>
      </c>
      <c r="AL69" s="29">
        <v>43430</v>
      </c>
      <c r="AM69" s="27" t="s">
        <v>372</v>
      </c>
      <c r="AN69" s="32" t="s">
        <v>475</v>
      </c>
      <c r="AO69" s="27" t="s">
        <v>374</v>
      </c>
      <c r="AP69" s="33">
        <v>0.95</v>
      </c>
      <c r="AQ69" s="80">
        <v>11097841</v>
      </c>
      <c r="AR69" s="32">
        <v>5200000079</v>
      </c>
      <c r="AS69" s="72"/>
      <c r="AT69" s="73"/>
    </row>
    <row r="70" spans="1:47" ht="45" x14ac:dyDescent="0.25">
      <c r="A70" s="14" t="s">
        <v>481</v>
      </c>
      <c r="B70" s="15" t="s">
        <v>288</v>
      </c>
      <c r="C70" s="15" t="s">
        <v>482</v>
      </c>
      <c r="D70" s="14" t="s">
        <v>483</v>
      </c>
      <c r="E70" s="15" t="s">
        <v>298</v>
      </c>
      <c r="F70" s="16" t="s">
        <v>484</v>
      </c>
      <c r="G70" s="17">
        <v>830070987</v>
      </c>
      <c r="H70" s="17">
        <v>4</v>
      </c>
      <c r="I70" s="18" t="s">
        <v>485</v>
      </c>
      <c r="J70" s="104" t="s">
        <v>349</v>
      </c>
      <c r="K70" s="15" t="s">
        <v>350</v>
      </c>
      <c r="L70" s="26"/>
      <c r="M70" s="55">
        <v>80000000</v>
      </c>
      <c r="N70" s="50">
        <v>78018</v>
      </c>
      <c r="O70" s="50"/>
      <c r="P70" s="21"/>
      <c r="Q70" s="21">
        <f t="shared" si="0"/>
        <v>80000000</v>
      </c>
      <c r="R70" s="55"/>
      <c r="S70" s="23">
        <f t="shared" si="1"/>
        <v>80000000</v>
      </c>
      <c r="T70" s="115"/>
      <c r="U70" s="26" t="s">
        <v>486</v>
      </c>
      <c r="V70" s="26" t="s">
        <v>486</v>
      </c>
      <c r="W70" s="25">
        <v>43454</v>
      </c>
      <c r="X70" s="25"/>
      <c r="Y70" s="25">
        <f>+W70+120</f>
        <v>43574</v>
      </c>
      <c r="Z70" s="37"/>
      <c r="AA70" s="37"/>
      <c r="AB70" s="15" t="s">
        <v>51</v>
      </c>
      <c r="AC70" s="123">
        <v>43623</v>
      </c>
      <c r="AD70" s="26"/>
      <c r="AE70" s="26"/>
      <c r="AF70" s="105" t="s">
        <v>487</v>
      </c>
      <c r="AG70" s="27" t="s">
        <v>137</v>
      </c>
      <c r="AH70" s="29" t="s">
        <v>384</v>
      </c>
      <c r="AI70" s="120"/>
      <c r="AJ70" s="28">
        <v>53114465</v>
      </c>
      <c r="AK70" s="29" t="s">
        <v>126</v>
      </c>
      <c r="AL70" s="29">
        <v>43228</v>
      </c>
      <c r="AM70" s="31" t="s">
        <v>488</v>
      </c>
      <c r="AN70" s="32" t="s">
        <v>489</v>
      </c>
      <c r="AO70" s="57" t="s">
        <v>305</v>
      </c>
      <c r="AP70" s="33" t="s">
        <v>434</v>
      </c>
      <c r="AQ70" s="108">
        <f>16000000+40000000+4000000+156248400</f>
        <v>216248400</v>
      </c>
      <c r="AR70" s="35" t="s">
        <v>490</v>
      </c>
      <c r="AS70" s="59" t="s">
        <v>491</v>
      </c>
      <c r="AT70" s="73"/>
    </row>
    <row r="71" spans="1:47" ht="22.5" x14ac:dyDescent="0.25">
      <c r="A71" s="14" t="s">
        <v>492</v>
      </c>
      <c r="B71" s="15" t="s">
        <v>288</v>
      </c>
      <c r="C71" s="15" t="s">
        <v>493</v>
      </c>
      <c r="D71" s="14" t="s">
        <v>196</v>
      </c>
      <c r="E71" s="15" t="s">
        <v>298</v>
      </c>
      <c r="F71" s="16" t="s">
        <v>494</v>
      </c>
      <c r="G71" s="17">
        <v>830058677</v>
      </c>
      <c r="H71" s="17">
        <v>7</v>
      </c>
      <c r="I71" s="49" t="s">
        <v>495</v>
      </c>
      <c r="J71" s="104" t="s">
        <v>349</v>
      </c>
      <c r="K71" s="15" t="s">
        <v>350</v>
      </c>
      <c r="L71" s="26"/>
      <c r="M71" s="55">
        <v>346528000</v>
      </c>
      <c r="N71" s="50">
        <v>78418</v>
      </c>
      <c r="O71" s="50"/>
      <c r="P71" s="48">
        <v>0</v>
      </c>
      <c r="Q71" s="21">
        <f t="shared" si="0"/>
        <v>346528000</v>
      </c>
      <c r="R71" s="55">
        <v>161713065</v>
      </c>
      <c r="S71" s="23">
        <f t="shared" si="1"/>
        <v>184814935</v>
      </c>
      <c r="T71" s="115"/>
      <c r="U71" s="26">
        <v>43224</v>
      </c>
      <c r="V71" s="26">
        <v>43224</v>
      </c>
      <c r="W71" s="25">
        <v>43585</v>
      </c>
      <c r="X71" s="25"/>
      <c r="Y71" s="37"/>
      <c r="Z71" s="37">
        <v>43585</v>
      </c>
      <c r="AA71" s="37"/>
      <c r="AB71" s="15" t="s">
        <v>51</v>
      </c>
      <c r="AC71" s="26">
        <v>43699</v>
      </c>
      <c r="AD71" s="26"/>
      <c r="AE71" s="26"/>
      <c r="AF71" s="110"/>
      <c r="AG71" s="27" t="s">
        <v>137</v>
      </c>
      <c r="AH71" s="29" t="s">
        <v>496</v>
      </c>
      <c r="AI71" s="120"/>
      <c r="AJ71" s="28">
        <v>1023894738</v>
      </c>
      <c r="AK71" s="29" t="s">
        <v>126</v>
      </c>
      <c r="AL71" s="29">
        <v>43228</v>
      </c>
      <c r="AM71" s="27" t="s">
        <v>95</v>
      </c>
      <c r="AN71" s="32" t="s">
        <v>497</v>
      </c>
      <c r="AO71" s="57" t="s">
        <v>305</v>
      </c>
      <c r="AP71" s="33" t="s">
        <v>498</v>
      </c>
      <c r="AQ71" s="108">
        <f>34652800+103958400+103958400+17326400+156248400</f>
        <v>416144400</v>
      </c>
      <c r="AR71" s="35" t="s">
        <v>499</v>
      </c>
      <c r="AS71" s="124"/>
      <c r="AT71" s="73"/>
    </row>
    <row r="72" spans="1:47" ht="15" x14ac:dyDescent="0.25">
      <c r="A72" s="14" t="s">
        <v>500</v>
      </c>
      <c r="B72" s="15" t="s">
        <v>176</v>
      </c>
      <c r="C72" s="15" t="s">
        <v>501</v>
      </c>
      <c r="D72" s="14" t="s">
        <v>502</v>
      </c>
      <c r="E72" s="15" t="s">
        <v>85</v>
      </c>
      <c r="F72" s="16" t="s">
        <v>503</v>
      </c>
      <c r="G72" s="17">
        <v>900646057</v>
      </c>
      <c r="H72" s="17">
        <v>7</v>
      </c>
      <c r="I72" s="18" t="s">
        <v>504</v>
      </c>
      <c r="J72" s="104"/>
      <c r="K72" s="15"/>
      <c r="L72" s="26"/>
      <c r="M72" s="22">
        <v>8870022</v>
      </c>
      <c r="N72" s="50">
        <v>80318</v>
      </c>
      <c r="O72" s="50"/>
      <c r="P72" s="23">
        <v>0</v>
      </c>
      <c r="Q72" s="21">
        <v>8782200</v>
      </c>
      <c r="R72" s="22">
        <v>8782200</v>
      </c>
      <c r="S72" s="23">
        <f t="shared" si="1"/>
        <v>0</v>
      </c>
      <c r="T72" s="22">
        <f>+S72</f>
        <v>0</v>
      </c>
      <c r="U72" s="26">
        <v>43228</v>
      </c>
      <c r="V72" s="26">
        <v>43229</v>
      </c>
      <c r="W72" s="25">
        <v>43272</v>
      </c>
      <c r="X72" s="25"/>
      <c r="Y72" s="25"/>
      <c r="Z72" s="25"/>
      <c r="AA72" s="25"/>
      <c r="AB72" s="15" t="s">
        <v>51</v>
      </c>
      <c r="AC72" s="26">
        <v>43335</v>
      </c>
      <c r="AD72" s="26" t="s">
        <v>52</v>
      </c>
      <c r="AE72" s="26"/>
      <c r="AF72" s="110"/>
      <c r="AG72" s="29" t="s">
        <v>505</v>
      </c>
      <c r="AH72" s="31" t="s">
        <v>506</v>
      </c>
      <c r="AI72" s="29">
        <v>43242</v>
      </c>
      <c r="AJ72" s="28">
        <v>51859596</v>
      </c>
      <c r="AK72" s="29" t="s">
        <v>385</v>
      </c>
      <c r="AL72" s="29">
        <v>43229</v>
      </c>
      <c r="AM72" s="31" t="s">
        <v>323</v>
      </c>
      <c r="AN72" s="32" t="s">
        <v>507</v>
      </c>
      <c r="AO72" s="27" t="s">
        <v>374</v>
      </c>
      <c r="AP72" s="33">
        <v>0.75</v>
      </c>
      <c r="AQ72" s="80">
        <v>6652516</v>
      </c>
      <c r="AR72" s="32" t="s">
        <v>508</v>
      </c>
      <c r="AS72" s="59" t="s">
        <v>51</v>
      </c>
      <c r="AT72" s="31" t="s">
        <v>509</v>
      </c>
    </row>
    <row r="73" spans="1:47" ht="22.5" x14ac:dyDescent="0.25">
      <c r="A73" s="14" t="s">
        <v>510</v>
      </c>
      <c r="B73" s="15" t="s">
        <v>176</v>
      </c>
      <c r="C73" s="15" t="s">
        <v>511</v>
      </c>
      <c r="D73" s="14" t="s">
        <v>318</v>
      </c>
      <c r="E73" s="15" t="s">
        <v>85</v>
      </c>
      <c r="F73" s="16" t="s">
        <v>512</v>
      </c>
      <c r="G73" s="17">
        <v>900276397</v>
      </c>
      <c r="H73" s="17"/>
      <c r="I73" s="49" t="s">
        <v>513</v>
      </c>
      <c r="J73" s="104"/>
      <c r="K73" s="15"/>
      <c r="L73" s="26"/>
      <c r="M73" s="55">
        <v>36300000</v>
      </c>
      <c r="N73" s="50">
        <v>22118</v>
      </c>
      <c r="O73" s="50"/>
      <c r="P73" s="51">
        <v>0</v>
      </c>
      <c r="Q73" s="21">
        <f t="shared" si="0"/>
        <v>36300000</v>
      </c>
      <c r="R73" s="55">
        <v>19554697</v>
      </c>
      <c r="S73" s="23">
        <f>Q73-R73</f>
        <v>16745303</v>
      </c>
      <c r="T73" s="115">
        <v>0</v>
      </c>
      <c r="U73" s="26">
        <v>43228</v>
      </c>
      <c r="V73" s="26">
        <v>43244</v>
      </c>
      <c r="W73" s="25">
        <v>43444</v>
      </c>
      <c r="X73" s="25"/>
      <c r="Y73" s="25">
        <f>Z73+120</f>
        <v>43574</v>
      </c>
      <c r="Z73" s="25">
        <v>43454</v>
      </c>
      <c r="AA73" s="25"/>
      <c r="AB73" s="25" t="s">
        <v>51</v>
      </c>
      <c r="AC73" s="25">
        <v>43516</v>
      </c>
      <c r="AD73" s="26"/>
      <c r="AE73" s="26"/>
      <c r="AF73" s="110"/>
      <c r="AG73" s="29" t="s">
        <v>514</v>
      </c>
      <c r="AH73" s="29" t="s">
        <v>515</v>
      </c>
      <c r="AI73" s="29">
        <v>43245</v>
      </c>
      <c r="AJ73" s="28">
        <v>52453006</v>
      </c>
      <c r="AK73" s="29" t="s">
        <v>385</v>
      </c>
      <c r="AL73" s="29">
        <v>43244</v>
      </c>
      <c r="AM73" s="27" t="s">
        <v>323</v>
      </c>
      <c r="AN73" s="125">
        <v>1246101021261</v>
      </c>
      <c r="AO73" s="27" t="s">
        <v>374</v>
      </c>
      <c r="AP73" s="33">
        <v>0.75</v>
      </c>
      <c r="AQ73" s="126">
        <v>11866555</v>
      </c>
      <c r="AR73" s="70" t="s">
        <v>516</v>
      </c>
      <c r="AS73" s="59" t="s">
        <v>389</v>
      </c>
      <c r="AT73" s="31" t="s">
        <v>517</v>
      </c>
    </row>
    <row r="74" spans="1:47" ht="22.5" x14ac:dyDescent="0.25">
      <c r="A74" s="14" t="s">
        <v>518</v>
      </c>
      <c r="B74" s="15" t="s">
        <v>176</v>
      </c>
      <c r="C74" s="15" t="s">
        <v>519</v>
      </c>
      <c r="D74" s="14" t="s">
        <v>318</v>
      </c>
      <c r="E74" s="15" t="s">
        <v>85</v>
      </c>
      <c r="F74" s="16" t="s">
        <v>520</v>
      </c>
      <c r="G74" s="17">
        <v>900646665</v>
      </c>
      <c r="H74" s="17">
        <v>5</v>
      </c>
      <c r="I74" s="49" t="s">
        <v>521</v>
      </c>
      <c r="J74" s="104"/>
      <c r="K74" s="15"/>
      <c r="L74" s="26"/>
      <c r="M74" s="22">
        <v>21633494</v>
      </c>
      <c r="N74" s="50">
        <v>79118</v>
      </c>
      <c r="O74" s="50"/>
      <c r="P74" s="51">
        <v>0</v>
      </c>
      <c r="Q74" s="21">
        <f t="shared" si="0"/>
        <v>21633494</v>
      </c>
      <c r="R74" s="22">
        <v>17306796</v>
      </c>
      <c r="S74" s="23">
        <f t="shared" si="1"/>
        <v>4326698</v>
      </c>
      <c r="T74" s="115">
        <v>0</v>
      </c>
      <c r="U74" s="26">
        <v>43228</v>
      </c>
      <c r="V74" s="26">
        <v>43237</v>
      </c>
      <c r="W74" s="25">
        <v>43465</v>
      </c>
      <c r="X74" s="25"/>
      <c r="Y74" s="25">
        <f>W74+120</f>
        <v>43585</v>
      </c>
      <c r="Z74" s="25"/>
      <c r="AA74" s="25"/>
      <c r="AB74" s="15" t="s">
        <v>51</v>
      </c>
      <c r="AC74" s="26">
        <v>43630</v>
      </c>
      <c r="AD74" s="26"/>
      <c r="AE74" s="26"/>
      <c r="AF74" s="110"/>
      <c r="AG74" s="29" t="s">
        <v>335</v>
      </c>
      <c r="AH74" s="29" t="s">
        <v>360</v>
      </c>
      <c r="AI74" s="29">
        <v>43244</v>
      </c>
      <c r="AJ74" s="28">
        <v>51826804</v>
      </c>
      <c r="AK74" s="29" t="s">
        <v>322</v>
      </c>
      <c r="AL74" s="29">
        <v>43237</v>
      </c>
      <c r="AM74" s="27" t="s">
        <v>522</v>
      </c>
      <c r="AN74" s="32" t="s">
        <v>523</v>
      </c>
      <c r="AO74" s="27" t="s">
        <v>524</v>
      </c>
      <c r="AP74" s="33">
        <v>1.25</v>
      </c>
      <c r="AQ74" s="80">
        <f>156248400+27741867</f>
        <v>183990267</v>
      </c>
      <c r="AR74" s="35" t="s">
        <v>525</v>
      </c>
      <c r="AS74" s="59" t="s">
        <v>389</v>
      </c>
      <c r="AT74" s="27" t="s">
        <v>526</v>
      </c>
    </row>
    <row r="75" spans="1:47" ht="22.5" x14ac:dyDescent="0.25">
      <c r="A75" s="14" t="s">
        <v>527</v>
      </c>
      <c r="B75" s="15" t="s">
        <v>176</v>
      </c>
      <c r="C75" s="15" t="s">
        <v>528</v>
      </c>
      <c r="D75" s="14" t="s">
        <v>266</v>
      </c>
      <c r="E75" s="15" t="s">
        <v>85</v>
      </c>
      <c r="F75" s="16" t="s">
        <v>529</v>
      </c>
      <c r="G75" s="17">
        <v>830073899</v>
      </c>
      <c r="H75" s="17">
        <v>8</v>
      </c>
      <c r="I75" s="49" t="s">
        <v>530</v>
      </c>
      <c r="J75" s="104"/>
      <c r="K75" s="15"/>
      <c r="L75" s="26"/>
      <c r="M75" s="22">
        <v>47400000</v>
      </c>
      <c r="N75" s="50">
        <v>79218</v>
      </c>
      <c r="O75" s="50"/>
      <c r="P75" s="51">
        <v>0</v>
      </c>
      <c r="Q75" s="21">
        <f t="shared" si="0"/>
        <v>47400000</v>
      </c>
      <c r="R75" s="21">
        <v>10490690</v>
      </c>
      <c r="S75" s="23">
        <f t="shared" si="1"/>
        <v>36909310</v>
      </c>
      <c r="T75" s="115">
        <v>0</v>
      </c>
      <c r="U75" s="26">
        <v>43228</v>
      </c>
      <c r="V75" s="26">
        <v>43228</v>
      </c>
      <c r="W75" s="25">
        <v>43434</v>
      </c>
      <c r="X75" s="25"/>
      <c r="Y75" s="25">
        <f>W75+120</f>
        <v>43554</v>
      </c>
      <c r="Z75" s="25"/>
      <c r="AA75" s="25"/>
      <c r="AB75" s="15" t="s">
        <v>51</v>
      </c>
      <c r="AC75" s="26">
        <v>43536</v>
      </c>
      <c r="AD75" s="26" t="s">
        <v>52</v>
      </c>
      <c r="AE75" s="26" t="s">
        <v>53</v>
      </c>
      <c r="AF75" s="110"/>
      <c r="AG75" s="29" t="s">
        <v>335</v>
      </c>
      <c r="AH75" s="29" t="s">
        <v>384</v>
      </c>
      <c r="AI75" s="29">
        <v>43243</v>
      </c>
      <c r="AJ75" s="28">
        <v>53114465</v>
      </c>
      <c r="AK75" s="29" t="s">
        <v>385</v>
      </c>
      <c r="AL75" s="29">
        <v>43228</v>
      </c>
      <c r="AM75" s="27" t="s">
        <v>323</v>
      </c>
      <c r="AN75" s="32" t="s">
        <v>531</v>
      </c>
      <c r="AO75" s="27" t="s">
        <v>532</v>
      </c>
      <c r="AP75" s="33">
        <v>0.65</v>
      </c>
      <c r="AQ75" s="80">
        <f>30810000</f>
        <v>30810000</v>
      </c>
      <c r="AR75" s="32">
        <v>5100002570</v>
      </c>
      <c r="AS75" s="59" t="s">
        <v>389</v>
      </c>
      <c r="AT75" s="27" t="s">
        <v>533</v>
      </c>
    </row>
    <row r="76" spans="1:47" ht="22.5" x14ac:dyDescent="0.25">
      <c r="A76" s="14" t="s">
        <v>534</v>
      </c>
      <c r="B76" s="15" t="s">
        <v>176</v>
      </c>
      <c r="C76" s="15" t="s">
        <v>535</v>
      </c>
      <c r="D76" s="14" t="s">
        <v>266</v>
      </c>
      <c r="E76" s="15" t="s">
        <v>120</v>
      </c>
      <c r="F76" s="16" t="s">
        <v>536</v>
      </c>
      <c r="G76" s="17">
        <v>900450642</v>
      </c>
      <c r="H76" s="17">
        <v>3</v>
      </c>
      <c r="I76" s="18" t="s">
        <v>537</v>
      </c>
      <c r="J76" s="104" t="s">
        <v>349</v>
      </c>
      <c r="K76" s="15" t="s">
        <v>350</v>
      </c>
      <c r="L76" s="26"/>
      <c r="M76" s="55">
        <v>18054066</v>
      </c>
      <c r="N76" s="50">
        <v>80618</v>
      </c>
      <c r="O76" s="50"/>
      <c r="P76" s="21"/>
      <c r="Q76" s="21">
        <f t="shared" si="0"/>
        <v>18054066</v>
      </c>
      <c r="R76" s="55">
        <v>18054066</v>
      </c>
      <c r="S76" s="23">
        <f t="shared" si="1"/>
        <v>0</v>
      </c>
      <c r="T76" s="115"/>
      <c r="U76" s="26">
        <v>43231</v>
      </c>
      <c r="V76" s="26">
        <v>43231</v>
      </c>
      <c r="W76" s="38">
        <v>43280</v>
      </c>
      <c r="X76" s="38"/>
      <c r="Y76" s="117"/>
      <c r="Z76" s="37"/>
      <c r="AA76" s="37"/>
      <c r="AB76" s="15" t="s">
        <v>51</v>
      </c>
      <c r="AC76" s="26">
        <v>43340</v>
      </c>
      <c r="AD76" s="26" t="s">
        <v>52</v>
      </c>
      <c r="AE76" s="26" t="s">
        <v>53</v>
      </c>
      <c r="AF76" s="110"/>
      <c r="AG76" s="29" t="s">
        <v>538</v>
      </c>
      <c r="AH76" s="29" t="s">
        <v>539</v>
      </c>
      <c r="AI76" s="106">
        <v>43237</v>
      </c>
      <c r="AJ76" s="28">
        <v>52465687</v>
      </c>
      <c r="AK76" s="29" t="s">
        <v>126</v>
      </c>
      <c r="AL76" s="29">
        <v>43237</v>
      </c>
      <c r="AM76" s="31" t="s">
        <v>540</v>
      </c>
      <c r="AN76" s="32" t="s">
        <v>541</v>
      </c>
      <c r="AO76" s="57" t="s">
        <v>352</v>
      </c>
      <c r="AP76" s="33">
        <v>0.65</v>
      </c>
      <c r="AQ76" s="58">
        <f>1805406.6+9027033+902703.3</f>
        <v>11735142.9</v>
      </c>
      <c r="AR76" s="70" t="s">
        <v>542</v>
      </c>
      <c r="AS76" s="59" t="s">
        <v>543</v>
      </c>
      <c r="AT76" s="31" t="s">
        <v>544</v>
      </c>
    </row>
    <row r="77" spans="1:47" ht="22.5" x14ac:dyDescent="0.25">
      <c r="A77" s="14" t="s">
        <v>545</v>
      </c>
      <c r="B77" s="15" t="s">
        <v>176</v>
      </c>
      <c r="C77" s="15" t="s">
        <v>546</v>
      </c>
      <c r="D77" s="14" t="s">
        <v>266</v>
      </c>
      <c r="E77" s="15" t="s">
        <v>120</v>
      </c>
      <c r="F77" s="16" t="s">
        <v>547</v>
      </c>
      <c r="G77" s="17">
        <v>800094268</v>
      </c>
      <c r="H77" s="17">
        <v>1</v>
      </c>
      <c r="I77" s="18" t="s">
        <v>548</v>
      </c>
      <c r="J77" s="104" t="s">
        <v>349</v>
      </c>
      <c r="K77" s="15" t="s">
        <v>350</v>
      </c>
      <c r="L77" s="26"/>
      <c r="M77" s="55">
        <v>28964826</v>
      </c>
      <c r="N77" s="50">
        <v>80718</v>
      </c>
      <c r="O77" s="50"/>
      <c r="P77" s="48">
        <v>0</v>
      </c>
      <c r="Q77" s="21">
        <f t="shared" si="0"/>
        <v>28964826</v>
      </c>
      <c r="R77" s="55">
        <v>19315384</v>
      </c>
      <c r="S77" s="23">
        <f t="shared" si="1"/>
        <v>9649442</v>
      </c>
      <c r="T77" s="115"/>
      <c r="U77" s="26">
        <v>43231</v>
      </c>
      <c r="V77" s="26">
        <v>43231</v>
      </c>
      <c r="W77" s="25">
        <v>43434</v>
      </c>
      <c r="X77" s="25"/>
      <c r="Y77" s="37"/>
      <c r="Z77" s="37"/>
      <c r="AA77" s="37"/>
      <c r="AB77" s="15" t="s">
        <v>51</v>
      </c>
      <c r="AC77" s="26">
        <v>43559</v>
      </c>
      <c r="AD77" s="26" t="s">
        <v>52</v>
      </c>
      <c r="AE77" s="26" t="s">
        <v>53</v>
      </c>
      <c r="AF77" s="110"/>
      <c r="AG77" s="29" t="s">
        <v>538</v>
      </c>
      <c r="AH77" s="29" t="s">
        <v>549</v>
      </c>
      <c r="AI77" s="36"/>
      <c r="AJ77" s="28">
        <v>1016033921</v>
      </c>
      <c r="AK77" s="29" t="s">
        <v>126</v>
      </c>
      <c r="AL77" s="29">
        <v>43244</v>
      </c>
      <c r="AM77" s="31" t="s">
        <v>95</v>
      </c>
      <c r="AN77" s="32" t="s">
        <v>550</v>
      </c>
      <c r="AO77" s="57" t="s">
        <v>352</v>
      </c>
      <c r="AP77" s="33">
        <v>0.75</v>
      </c>
      <c r="AQ77" s="108">
        <f>5792965.2+14482413+1448241.3</f>
        <v>21723619.5</v>
      </c>
      <c r="AR77" s="35" t="s">
        <v>551</v>
      </c>
      <c r="AS77" s="59" t="s">
        <v>552</v>
      </c>
      <c r="AT77" s="31" t="s">
        <v>553</v>
      </c>
    </row>
    <row r="78" spans="1:47" ht="22.5" x14ac:dyDescent="0.25">
      <c r="A78" s="14" t="s">
        <v>554</v>
      </c>
      <c r="B78" s="15" t="s">
        <v>176</v>
      </c>
      <c r="C78" s="15" t="s">
        <v>555</v>
      </c>
      <c r="D78" s="14" t="s">
        <v>318</v>
      </c>
      <c r="E78" s="15" t="s">
        <v>85</v>
      </c>
      <c r="F78" s="16" t="s">
        <v>556</v>
      </c>
      <c r="G78" s="17">
        <v>830038304</v>
      </c>
      <c r="H78" s="17">
        <v>1</v>
      </c>
      <c r="I78" s="49" t="s">
        <v>557</v>
      </c>
      <c r="J78" s="104"/>
      <c r="K78" s="15"/>
      <c r="L78" s="26"/>
      <c r="M78" s="22">
        <v>9000000</v>
      </c>
      <c r="N78" s="50">
        <v>88018</v>
      </c>
      <c r="O78" s="50"/>
      <c r="P78" s="23">
        <v>0</v>
      </c>
      <c r="Q78" s="21">
        <f t="shared" si="0"/>
        <v>9000000</v>
      </c>
      <c r="R78" s="21">
        <v>9000000</v>
      </c>
      <c r="S78" s="23">
        <f t="shared" si="1"/>
        <v>0</v>
      </c>
      <c r="T78" s="115">
        <v>0</v>
      </c>
      <c r="U78" s="26">
        <v>43237</v>
      </c>
      <c r="V78" s="26">
        <v>43244</v>
      </c>
      <c r="W78" s="25">
        <v>43266</v>
      </c>
      <c r="X78" s="25"/>
      <c r="Y78" s="25">
        <v>43389</v>
      </c>
      <c r="Z78" s="25">
        <v>43266</v>
      </c>
      <c r="AA78" s="25"/>
      <c r="AB78" s="26" t="s">
        <v>51</v>
      </c>
      <c r="AC78" s="26">
        <v>43383</v>
      </c>
      <c r="AD78" s="26" t="s">
        <v>52</v>
      </c>
      <c r="AE78" s="26"/>
      <c r="AF78" s="110"/>
      <c r="AG78" s="29" t="s">
        <v>505</v>
      </c>
      <c r="AH78" s="29" t="s">
        <v>558</v>
      </c>
      <c r="AI78" s="29">
        <v>43248</v>
      </c>
      <c r="AJ78" s="28">
        <v>1013625204</v>
      </c>
      <c r="AK78" s="29" t="s">
        <v>385</v>
      </c>
      <c r="AL78" s="29">
        <v>43244</v>
      </c>
      <c r="AM78" s="27" t="s">
        <v>323</v>
      </c>
      <c r="AN78" s="32" t="s">
        <v>559</v>
      </c>
      <c r="AO78" s="27" t="s">
        <v>532</v>
      </c>
      <c r="AP78" s="33">
        <v>0.8</v>
      </c>
      <c r="AQ78" s="80">
        <v>7200000</v>
      </c>
      <c r="AR78" s="35" t="s">
        <v>560</v>
      </c>
      <c r="AS78" s="59" t="s">
        <v>561</v>
      </c>
      <c r="AT78" s="27" t="s">
        <v>562</v>
      </c>
    </row>
    <row r="79" spans="1:47" ht="22.5" x14ac:dyDescent="0.25">
      <c r="A79" s="14" t="s">
        <v>563</v>
      </c>
      <c r="B79" s="15" t="s">
        <v>288</v>
      </c>
      <c r="C79" s="15" t="s">
        <v>564</v>
      </c>
      <c r="D79" s="15" t="s">
        <v>196</v>
      </c>
      <c r="E79" s="15" t="s">
        <v>120</v>
      </c>
      <c r="F79" s="16" t="s">
        <v>565</v>
      </c>
      <c r="G79" s="17">
        <v>830131674</v>
      </c>
      <c r="H79" s="17">
        <v>7</v>
      </c>
      <c r="I79" s="18" t="s">
        <v>566</v>
      </c>
      <c r="J79" s="104" t="s">
        <v>349</v>
      </c>
      <c r="K79" s="15" t="s">
        <v>350</v>
      </c>
      <c r="L79" s="26"/>
      <c r="M79" s="55">
        <v>419000000</v>
      </c>
      <c r="N79" s="50">
        <v>86618</v>
      </c>
      <c r="O79" s="50"/>
      <c r="P79" s="21"/>
      <c r="Q79" s="21">
        <f t="shared" ref="Q79:R143" si="5">M79+P79</f>
        <v>419000000</v>
      </c>
      <c r="R79" s="55">
        <v>419000000</v>
      </c>
      <c r="S79" s="23">
        <f t="shared" ref="S79:S103" si="6">Q79-R79</f>
        <v>0</v>
      </c>
      <c r="T79" s="115"/>
      <c r="U79" s="26">
        <v>43238</v>
      </c>
      <c r="V79" s="26">
        <v>43238</v>
      </c>
      <c r="W79" s="25">
        <v>43311</v>
      </c>
      <c r="X79" s="25"/>
      <c r="Y79" s="37"/>
      <c r="Z79" s="37"/>
      <c r="AA79" s="37"/>
      <c r="AB79" s="15" t="s">
        <v>51</v>
      </c>
      <c r="AC79" s="26">
        <v>43374</v>
      </c>
      <c r="AD79" s="26" t="s">
        <v>52</v>
      </c>
      <c r="AE79" s="26" t="s">
        <v>53</v>
      </c>
      <c r="AF79" s="110"/>
      <c r="AG79" s="27" t="s">
        <v>137</v>
      </c>
      <c r="AH79" s="29" t="s">
        <v>567</v>
      </c>
      <c r="AI79" s="106" t="s">
        <v>568</v>
      </c>
      <c r="AJ79" s="28">
        <v>1000466932</v>
      </c>
      <c r="AK79" s="29" t="s">
        <v>126</v>
      </c>
      <c r="AL79" s="29">
        <v>43249</v>
      </c>
      <c r="AM79" s="31" t="s">
        <v>95</v>
      </c>
      <c r="AN79" s="32" t="s">
        <v>569</v>
      </c>
      <c r="AO79" s="57" t="s">
        <v>352</v>
      </c>
      <c r="AP79" s="33">
        <v>0.75</v>
      </c>
      <c r="AQ79" s="108">
        <f>83800000+83800000+20950000</f>
        <v>188550000</v>
      </c>
      <c r="AR79" s="32" t="s">
        <v>570</v>
      </c>
      <c r="AS79" s="59"/>
      <c r="AT79" s="31" t="s">
        <v>571</v>
      </c>
    </row>
    <row r="80" spans="1:47" ht="22.5" x14ac:dyDescent="0.25">
      <c r="A80" s="14" t="s">
        <v>572</v>
      </c>
      <c r="B80" s="15" t="s">
        <v>399</v>
      </c>
      <c r="C80" s="15" t="s">
        <v>573</v>
      </c>
      <c r="D80" s="14" t="s">
        <v>574</v>
      </c>
      <c r="E80" s="15" t="s">
        <v>120</v>
      </c>
      <c r="F80" s="16" t="s">
        <v>575</v>
      </c>
      <c r="G80" s="17">
        <v>860353110</v>
      </c>
      <c r="H80" s="17">
        <v>7</v>
      </c>
      <c r="I80" s="18" t="s">
        <v>576</v>
      </c>
      <c r="J80" s="104" t="s">
        <v>349</v>
      </c>
      <c r="K80" s="15" t="s">
        <v>350</v>
      </c>
      <c r="L80" s="26"/>
      <c r="M80" s="55">
        <v>118868220</v>
      </c>
      <c r="N80" s="50">
        <v>86718</v>
      </c>
      <c r="O80" s="50"/>
      <c r="P80" s="21"/>
      <c r="Q80" s="21">
        <f t="shared" si="5"/>
        <v>118868220</v>
      </c>
      <c r="R80" s="55">
        <v>118868220</v>
      </c>
      <c r="S80" s="23">
        <f t="shared" si="6"/>
        <v>0</v>
      </c>
      <c r="T80" s="115"/>
      <c r="U80" s="26">
        <v>43241</v>
      </c>
      <c r="V80" s="26">
        <v>43241</v>
      </c>
      <c r="W80" s="38" t="s">
        <v>577</v>
      </c>
      <c r="X80" s="38"/>
      <c r="Y80" s="117"/>
      <c r="Z80" s="37"/>
      <c r="AA80" s="37"/>
      <c r="AB80" s="15" t="s">
        <v>51</v>
      </c>
      <c r="AC80" s="26">
        <v>43322</v>
      </c>
      <c r="AD80" s="26" t="s">
        <v>52</v>
      </c>
      <c r="AE80" s="26" t="s">
        <v>53</v>
      </c>
      <c r="AF80" s="110"/>
      <c r="AG80" s="27" t="s">
        <v>137</v>
      </c>
      <c r="AH80" s="27" t="s">
        <v>216</v>
      </c>
      <c r="AI80" s="106">
        <v>43246</v>
      </c>
      <c r="AJ80" s="28">
        <v>80804610</v>
      </c>
      <c r="AK80" s="29" t="s">
        <v>126</v>
      </c>
      <c r="AL80" s="29">
        <v>43244</v>
      </c>
      <c r="AM80" s="31" t="s">
        <v>578</v>
      </c>
      <c r="AN80" s="32">
        <v>2920785</v>
      </c>
      <c r="AO80" s="57" t="s">
        <v>352</v>
      </c>
      <c r="AP80" s="33">
        <v>0.75</v>
      </c>
      <c r="AQ80" s="58">
        <f>29717055+59434110+5943411</f>
        <v>95094576</v>
      </c>
      <c r="AR80" s="32" t="s">
        <v>579</v>
      </c>
      <c r="AS80" s="59"/>
      <c r="AT80" s="31" t="s">
        <v>580</v>
      </c>
    </row>
    <row r="81" spans="1:46" ht="33.75" x14ac:dyDescent="0.25">
      <c r="A81" s="14" t="s">
        <v>581</v>
      </c>
      <c r="B81" s="15" t="s">
        <v>176</v>
      </c>
      <c r="C81" s="15" t="s">
        <v>582</v>
      </c>
      <c r="D81" s="15" t="s">
        <v>196</v>
      </c>
      <c r="E81" s="15" t="s">
        <v>85</v>
      </c>
      <c r="F81" s="16" t="s">
        <v>583</v>
      </c>
      <c r="G81" s="17" t="s">
        <v>584</v>
      </c>
      <c r="H81" s="17">
        <v>4</v>
      </c>
      <c r="I81" s="49" t="s">
        <v>585</v>
      </c>
      <c r="J81" s="104"/>
      <c r="K81" s="15"/>
      <c r="L81" s="26"/>
      <c r="M81" s="22">
        <v>24200000</v>
      </c>
      <c r="N81" s="50">
        <v>94418</v>
      </c>
      <c r="O81" s="50"/>
      <c r="P81" s="51">
        <v>0</v>
      </c>
      <c r="Q81" s="21">
        <f t="shared" si="5"/>
        <v>24200000</v>
      </c>
      <c r="R81" s="21">
        <v>24200000</v>
      </c>
      <c r="S81" s="21">
        <f>+Q81-R81</f>
        <v>0</v>
      </c>
      <c r="T81" s="115">
        <v>0</v>
      </c>
      <c r="U81" s="26">
        <v>43243</v>
      </c>
      <c r="V81" s="26">
        <v>43245</v>
      </c>
      <c r="W81" s="25">
        <v>43371</v>
      </c>
      <c r="X81" s="25"/>
      <c r="Y81" s="25">
        <v>43128</v>
      </c>
      <c r="Z81" s="25" t="s">
        <v>480</v>
      </c>
      <c r="AA81" s="25"/>
      <c r="AB81" s="15" t="s">
        <v>51</v>
      </c>
      <c r="AC81" s="26">
        <v>43518</v>
      </c>
      <c r="AD81" s="26"/>
      <c r="AE81" s="26"/>
      <c r="AF81" s="110"/>
      <c r="AG81" s="29" t="s">
        <v>586</v>
      </c>
      <c r="AH81" s="29" t="s">
        <v>587</v>
      </c>
      <c r="AI81" s="29">
        <v>43248</v>
      </c>
      <c r="AJ81" s="28">
        <v>52821029</v>
      </c>
      <c r="AK81" s="29" t="s">
        <v>322</v>
      </c>
      <c r="AL81" s="29">
        <v>43245</v>
      </c>
      <c r="AM81" s="27" t="s">
        <v>323</v>
      </c>
      <c r="AN81" s="32" t="s">
        <v>588</v>
      </c>
      <c r="AO81" s="27" t="s">
        <v>532</v>
      </c>
      <c r="AP81" s="33">
        <v>0.75</v>
      </c>
      <c r="AQ81" s="80">
        <v>18150000</v>
      </c>
      <c r="AR81" s="32" t="s">
        <v>589</v>
      </c>
      <c r="AS81" s="59" t="s">
        <v>389</v>
      </c>
      <c r="AT81" s="27" t="s">
        <v>590</v>
      </c>
    </row>
    <row r="82" spans="1:46" ht="56.25" x14ac:dyDescent="0.25">
      <c r="A82" s="14" t="s">
        <v>591</v>
      </c>
      <c r="B82" s="15" t="s">
        <v>399</v>
      </c>
      <c r="C82" s="15" t="s">
        <v>592</v>
      </c>
      <c r="D82" s="14" t="s">
        <v>266</v>
      </c>
      <c r="E82" s="15" t="s">
        <v>85</v>
      </c>
      <c r="F82" s="16" t="s">
        <v>593</v>
      </c>
      <c r="G82" s="17">
        <v>900108074</v>
      </c>
      <c r="H82" s="17">
        <v>5</v>
      </c>
      <c r="I82" s="49" t="s">
        <v>594</v>
      </c>
      <c r="J82" s="104" t="s">
        <v>595</v>
      </c>
      <c r="K82" s="15" t="s">
        <v>464</v>
      </c>
      <c r="L82" s="26">
        <v>43327</v>
      </c>
      <c r="M82" s="127">
        <v>780000000</v>
      </c>
      <c r="N82" s="128">
        <v>95918</v>
      </c>
      <c r="O82" s="128"/>
      <c r="P82" s="51">
        <v>0</v>
      </c>
      <c r="Q82" s="21">
        <f t="shared" si="5"/>
        <v>780000000</v>
      </c>
      <c r="R82" s="21">
        <v>779996280</v>
      </c>
      <c r="S82" s="23">
        <f t="shared" si="6"/>
        <v>3720</v>
      </c>
      <c r="T82" s="23">
        <v>3720</v>
      </c>
      <c r="U82" s="26">
        <v>43250</v>
      </c>
      <c r="V82" s="26">
        <v>43251</v>
      </c>
      <c r="W82" s="25" t="s">
        <v>596</v>
      </c>
      <c r="X82" s="25"/>
      <c r="Y82" s="25" t="s">
        <v>597</v>
      </c>
      <c r="Z82" s="25">
        <v>43524</v>
      </c>
      <c r="AA82" s="25"/>
      <c r="AB82" s="15" t="s">
        <v>51</v>
      </c>
      <c r="AC82" s="26">
        <v>43648</v>
      </c>
      <c r="AD82" s="26"/>
      <c r="AE82" s="26"/>
      <c r="AF82" s="110"/>
      <c r="AG82" s="27" t="s">
        <v>137</v>
      </c>
      <c r="AH82" s="29" t="s">
        <v>336</v>
      </c>
      <c r="AI82" s="29">
        <v>43251</v>
      </c>
      <c r="AJ82" s="28">
        <v>52234812</v>
      </c>
      <c r="AK82" s="29" t="s">
        <v>322</v>
      </c>
      <c r="AL82" s="29">
        <v>43251</v>
      </c>
      <c r="AM82" s="27" t="s">
        <v>598</v>
      </c>
      <c r="AN82" s="70" t="s">
        <v>599</v>
      </c>
      <c r="AO82" s="27" t="s">
        <v>234</v>
      </c>
      <c r="AP82" s="33">
        <v>0.75</v>
      </c>
      <c r="AQ82" s="76" t="s">
        <v>600</v>
      </c>
      <c r="AR82" s="32" t="s">
        <v>601</v>
      </c>
      <c r="AS82" s="72" t="s">
        <v>602</v>
      </c>
      <c r="AT82" s="31" t="s">
        <v>603</v>
      </c>
    </row>
    <row r="83" spans="1:46" ht="56.25" x14ac:dyDescent="0.25">
      <c r="A83" s="14" t="s">
        <v>604</v>
      </c>
      <c r="B83" s="15"/>
      <c r="C83" s="15" t="s">
        <v>592</v>
      </c>
      <c r="D83" s="14" t="s">
        <v>266</v>
      </c>
      <c r="E83" s="15" t="s">
        <v>85</v>
      </c>
      <c r="F83" s="16" t="s">
        <v>593</v>
      </c>
      <c r="G83" s="17">
        <v>900108074</v>
      </c>
      <c r="H83" s="17">
        <v>5</v>
      </c>
      <c r="I83" s="49" t="s">
        <v>594</v>
      </c>
      <c r="J83" s="104" t="s">
        <v>595</v>
      </c>
      <c r="K83" s="15" t="s">
        <v>464</v>
      </c>
      <c r="L83" s="26">
        <v>43327</v>
      </c>
      <c r="M83" s="127"/>
      <c r="N83" s="129">
        <v>15718</v>
      </c>
      <c r="O83" s="129"/>
      <c r="P83" s="127">
        <v>300000000</v>
      </c>
      <c r="Q83" s="21">
        <f t="shared" si="5"/>
        <v>300000000</v>
      </c>
      <c r="R83" s="21">
        <v>25881019</v>
      </c>
      <c r="S83" s="23">
        <f t="shared" si="6"/>
        <v>274118981</v>
      </c>
      <c r="T83" s="115">
        <v>0</v>
      </c>
      <c r="U83" s="26">
        <v>43364</v>
      </c>
      <c r="V83" s="26">
        <v>43364</v>
      </c>
      <c r="W83" s="25">
        <v>43465</v>
      </c>
      <c r="X83" s="25"/>
      <c r="Y83" s="25">
        <v>43220</v>
      </c>
      <c r="Z83" s="25">
        <v>43524</v>
      </c>
      <c r="AA83" s="25"/>
      <c r="AB83" s="15" t="s">
        <v>51</v>
      </c>
      <c r="AC83" s="26">
        <v>43648</v>
      </c>
      <c r="AD83" s="26"/>
      <c r="AE83" s="26"/>
      <c r="AF83" s="110"/>
      <c r="AG83" s="27" t="s">
        <v>137</v>
      </c>
      <c r="AH83" s="29" t="s">
        <v>336</v>
      </c>
      <c r="AI83" s="29">
        <v>43251</v>
      </c>
      <c r="AJ83" s="28">
        <v>52234812</v>
      </c>
      <c r="AK83" s="29" t="s">
        <v>322</v>
      </c>
      <c r="AL83" s="29">
        <v>43366</v>
      </c>
      <c r="AM83" s="27" t="s">
        <v>95</v>
      </c>
      <c r="AN83" s="70" t="s">
        <v>599</v>
      </c>
      <c r="AO83" s="27" t="s">
        <v>234</v>
      </c>
      <c r="AP83" s="33">
        <v>0.75</v>
      </c>
      <c r="AQ83" s="76" t="s">
        <v>600</v>
      </c>
      <c r="AR83" s="32">
        <v>5100002606</v>
      </c>
      <c r="AS83" s="72"/>
      <c r="AT83" s="31" t="s">
        <v>603</v>
      </c>
    </row>
    <row r="84" spans="1:46" ht="56.25" x14ac:dyDescent="0.25">
      <c r="A84" s="14" t="s">
        <v>605</v>
      </c>
      <c r="B84" s="15" t="s">
        <v>399</v>
      </c>
      <c r="C84" s="15" t="s">
        <v>592</v>
      </c>
      <c r="D84" s="14" t="s">
        <v>266</v>
      </c>
      <c r="E84" s="15" t="s">
        <v>85</v>
      </c>
      <c r="F84" s="16" t="s">
        <v>606</v>
      </c>
      <c r="G84" s="17">
        <v>800089040</v>
      </c>
      <c r="H84" s="17">
        <v>1</v>
      </c>
      <c r="I84" s="49" t="s">
        <v>607</v>
      </c>
      <c r="J84" s="104" t="s">
        <v>608</v>
      </c>
      <c r="K84" s="15" t="s">
        <v>464</v>
      </c>
      <c r="L84" s="26" t="s">
        <v>609</v>
      </c>
      <c r="M84" s="127">
        <v>642000000</v>
      </c>
      <c r="N84" s="130">
        <v>96018</v>
      </c>
      <c r="O84" s="130"/>
      <c r="P84" s="51">
        <v>0</v>
      </c>
      <c r="Q84" s="21">
        <f t="shared" si="5"/>
        <v>642000000</v>
      </c>
      <c r="R84" s="22">
        <v>641997040</v>
      </c>
      <c r="S84" s="23">
        <f t="shared" si="6"/>
        <v>2960</v>
      </c>
      <c r="T84" s="23">
        <v>2960</v>
      </c>
      <c r="U84" s="26">
        <v>43250</v>
      </c>
      <c r="V84" s="26"/>
      <c r="W84" s="25">
        <v>43465</v>
      </c>
      <c r="X84" s="25"/>
      <c r="Y84" s="25">
        <f>W84+120</f>
        <v>43585</v>
      </c>
      <c r="Z84" s="25"/>
      <c r="AA84" s="25"/>
      <c r="AB84" s="15" t="s">
        <v>51</v>
      </c>
      <c r="AC84" s="26">
        <v>43637</v>
      </c>
      <c r="AD84" s="26"/>
      <c r="AE84" s="26"/>
      <c r="AF84" s="110"/>
      <c r="AG84" s="27" t="s">
        <v>137</v>
      </c>
      <c r="AH84" s="29" t="s">
        <v>336</v>
      </c>
      <c r="AI84" s="29">
        <v>43251</v>
      </c>
      <c r="AJ84" s="28">
        <v>52234812</v>
      </c>
      <c r="AK84" s="29" t="s">
        <v>322</v>
      </c>
      <c r="AL84" s="29">
        <v>43251</v>
      </c>
      <c r="AM84" s="27" t="s">
        <v>95</v>
      </c>
      <c r="AN84" s="70" t="s">
        <v>610</v>
      </c>
      <c r="AO84" s="27" t="s">
        <v>234</v>
      </c>
      <c r="AP84" s="33">
        <v>0.85</v>
      </c>
      <c r="AQ84" s="76" t="s">
        <v>611</v>
      </c>
      <c r="AR84" s="32" t="s">
        <v>612</v>
      </c>
      <c r="AS84" s="59" t="s">
        <v>389</v>
      </c>
      <c r="AT84" s="31" t="s">
        <v>613</v>
      </c>
    </row>
    <row r="85" spans="1:46" ht="56.25" x14ac:dyDescent="0.25">
      <c r="A85" s="14" t="s">
        <v>614</v>
      </c>
      <c r="B85" s="15" t="s">
        <v>399</v>
      </c>
      <c r="C85" s="15" t="s">
        <v>592</v>
      </c>
      <c r="D85" s="14" t="s">
        <v>266</v>
      </c>
      <c r="E85" s="15" t="s">
        <v>85</v>
      </c>
      <c r="F85" s="16" t="s">
        <v>606</v>
      </c>
      <c r="G85" s="17">
        <v>800089040</v>
      </c>
      <c r="H85" s="17">
        <v>1</v>
      </c>
      <c r="I85" s="49" t="s">
        <v>607</v>
      </c>
      <c r="J85" s="104" t="s">
        <v>608</v>
      </c>
      <c r="K85" s="15" t="s">
        <v>464</v>
      </c>
      <c r="L85" s="26" t="s">
        <v>609</v>
      </c>
      <c r="M85" s="127"/>
      <c r="N85" s="130">
        <v>14618</v>
      </c>
      <c r="O85" s="130"/>
      <c r="P85" s="21">
        <v>321000000</v>
      </c>
      <c r="Q85" s="122"/>
      <c r="R85" s="21">
        <v>249551817</v>
      </c>
      <c r="S85" s="23">
        <f>P85-R85</f>
        <v>71448183</v>
      </c>
      <c r="T85" s="115"/>
      <c r="U85" s="26">
        <v>43364</v>
      </c>
      <c r="V85" s="26">
        <v>43364</v>
      </c>
      <c r="W85" s="25">
        <v>43465</v>
      </c>
      <c r="X85" s="25"/>
      <c r="Y85" s="25">
        <v>43585</v>
      </c>
      <c r="Z85" s="25"/>
      <c r="AA85" s="25"/>
      <c r="AB85" s="15" t="s">
        <v>615</v>
      </c>
      <c r="AC85" s="26">
        <v>43667</v>
      </c>
      <c r="AD85" s="26"/>
      <c r="AE85" s="26" t="s">
        <v>616</v>
      </c>
      <c r="AF85" s="110"/>
      <c r="AG85" s="27" t="s">
        <v>137</v>
      </c>
      <c r="AH85" s="29" t="s">
        <v>336</v>
      </c>
      <c r="AI85" s="29">
        <v>43251</v>
      </c>
      <c r="AJ85" s="28">
        <v>52234812</v>
      </c>
      <c r="AK85" s="29" t="s">
        <v>322</v>
      </c>
      <c r="AL85" s="29">
        <v>43370</v>
      </c>
      <c r="AM85" s="27" t="s">
        <v>95</v>
      </c>
      <c r="AN85" s="70" t="s">
        <v>610</v>
      </c>
      <c r="AO85" s="27" t="s">
        <v>234</v>
      </c>
      <c r="AP85" s="33">
        <v>0.85</v>
      </c>
      <c r="AQ85" s="76" t="s">
        <v>611</v>
      </c>
      <c r="AR85" s="32">
        <v>5100002607</v>
      </c>
      <c r="AS85" s="59" t="s">
        <v>389</v>
      </c>
      <c r="AT85" s="31" t="s">
        <v>613</v>
      </c>
    </row>
    <row r="86" spans="1:46" ht="22.5" x14ac:dyDescent="0.25">
      <c r="A86" s="14" t="s">
        <v>617</v>
      </c>
      <c r="B86" s="15" t="s">
        <v>176</v>
      </c>
      <c r="C86" s="15" t="s">
        <v>618</v>
      </c>
      <c r="D86" s="14" t="s">
        <v>266</v>
      </c>
      <c r="E86" s="15" t="s">
        <v>120</v>
      </c>
      <c r="F86" s="16" t="s">
        <v>619</v>
      </c>
      <c r="G86" s="17">
        <v>900851932</v>
      </c>
      <c r="H86" s="17">
        <v>5</v>
      </c>
      <c r="I86" s="18" t="s">
        <v>620</v>
      </c>
      <c r="J86" s="104" t="s">
        <v>349</v>
      </c>
      <c r="K86" s="15" t="s">
        <v>350</v>
      </c>
      <c r="L86" s="26"/>
      <c r="M86" s="55">
        <v>45981600</v>
      </c>
      <c r="N86" s="50">
        <v>96118</v>
      </c>
      <c r="O86" s="50"/>
      <c r="P86" s="21"/>
      <c r="Q86" s="21">
        <f t="shared" si="5"/>
        <v>45981600</v>
      </c>
      <c r="R86" s="55">
        <v>45981600</v>
      </c>
      <c r="S86" s="23">
        <f t="shared" si="6"/>
        <v>0</v>
      </c>
      <c r="T86" s="115"/>
      <c r="U86" s="26">
        <v>43250</v>
      </c>
      <c r="V86" s="26">
        <v>43250</v>
      </c>
      <c r="W86" s="25">
        <v>43434</v>
      </c>
      <c r="X86" s="25"/>
      <c r="Y86" s="37"/>
      <c r="Z86" s="37"/>
      <c r="AA86" s="37"/>
      <c r="AB86" s="15" t="s">
        <v>51</v>
      </c>
      <c r="AC86" s="26">
        <v>43424</v>
      </c>
      <c r="AD86" s="26" t="s">
        <v>52</v>
      </c>
      <c r="AE86" s="26" t="s">
        <v>53</v>
      </c>
      <c r="AF86" s="110"/>
      <c r="AG86" s="29" t="s">
        <v>538</v>
      </c>
      <c r="AH86" s="29" t="s">
        <v>549</v>
      </c>
      <c r="AI86" s="106">
        <v>43263</v>
      </c>
      <c r="AJ86" s="28">
        <v>1016033921</v>
      </c>
      <c r="AK86" s="29" t="s">
        <v>126</v>
      </c>
      <c r="AL86" s="29">
        <v>43263</v>
      </c>
      <c r="AM86" s="31" t="s">
        <v>621</v>
      </c>
      <c r="AN86" s="32" t="s">
        <v>622</v>
      </c>
      <c r="AO86" s="57" t="s">
        <v>305</v>
      </c>
      <c r="AP86" s="33" t="s">
        <v>434</v>
      </c>
      <c r="AQ86" s="108">
        <f>9196320+22990800+2299080+156248400</f>
        <v>190734600</v>
      </c>
      <c r="AR86" s="32" t="s">
        <v>623</v>
      </c>
      <c r="AS86" s="59" t="s">
        <v>624</v>
      </c>
      <c r="AT86" s="31" t="s">
        <v>625</v>
      </c>
    </row>
    <row r="87" spans="1:46" ht="33.75" x14ac:dyDescent="0.25">
      <c r="A87" s="14" t="s">
        <v>626</v>
      </c>
      <c r="B87" s="15" t="s">
        <v>176</v>
      </c>
      <c r="C87" s="15" t="s">
        <v>627</v>
      </c>
      <c r="D87" s="15" t="s">
        <v>102</v>
      </c>
      <c r="E87" s="15" t="s">
        <v>628</v>
      </c>
      <c r="F87" s="16" t="s">
        <v>629</v>
      </c>
      <c r="G87" s="17">
        <v>860015685</v>
      </c>
      <c r="H87" s="17">
        <v>0</v>
      </c>
      <c r="I87" s="131" t="s">
        <v>630</v>
      </c>
      <c r="J87" s="104" t="s">
        <v>480</v>
      </c>
      <c r="K87" s="104" t="s">
        <v>480</v>
      </c>
      <c r="L87" s="104" t="s">
        <v>480</v>
      </c>
      <c r="M87" s="22">
        <v>29900000</v>
      </c>
      <c r="N87" s="50">
        <v>96318</v>
      </c>
      <c r="O87" s="50"/>
      <c r="P87" s="51">
        <v>0</v>
      </c>
      <c r="Q87" s="21">
        <f t="shared" si="5"/>
        <v>29900000</v>
      </c>
      <c r="R87" s="115">
        <v>0</v>
      </c>
      <c r="S87" s="23">
        <f t="shared" si="6"/>
        <v>29900000</v>
      </c>
      <c r="T87" s="115" t="s">
        <v>631</v>
      </c>
      <c r="U87" s="26">
        <v>43250</v>
      </c>
      <c r="V87" s="26">
        <v>43264</v>
      </c>
      <c r="W87" s="25">
        <v>43401</v>
      </c>
      <c r="X87" s="25"/>
      <c r="Y87" s="25">
        <v>43493</v>
      </c>
      <c r="Z87" s="25" t="s">
        <v>480</v>
      </c>
      <c r="AA87" s="25"/>
      <c r="AB87" s="15" t="s">
        <v>51</v>
      </c>
      <c r="AC87" s="26">
        <v>43528</v>
      </c>
      <c r="AD87" s="26" t="s">
        <v>52</v>
      </c>
      <c r="AE87" s="26" t="s">
        <v>632</v>
      </c>
      <c r="AF87" s="60"/>
      <c r="AG87" s="29" t="s">
        <v>633</v>
      </c>
      <c r="AH87" s="29" t="s">
        <v>634</v>
      </c>
      <c r="AI87" s="29">
        <v>43251</v>
      </c>
      <c r="AJ87" s="29" t="s">
        <v>635</v>
      </c>
      <c r="AK87" s="29" t="s">
        <v>126</v>
      </c>
      <c r="AL87" s="29">
        <v>43251</v>
      </c>
      <c r="AM87" s="27" t="s">
        <v>95</v>
      </c>
      <c r="AN87" s="70" t="s">
        <v>636</v>
      </c>
      <c r="AO87" s="27" t="s">
        <v>352</v>
      </c>
      <c r="AP87" s="107" t="s">
        <v>637</v>
      </c>
      <c r="AQ87" s="80">
        <v>22425000</v>
      </c>
      <c r="AR87" s="70" t="s">
        <v>638</v>
      </c>
      <c r="AS87" s="59" t="s">
        <v>639</v>
      </c>
      <c r="AT87" s="116">
        <v>20186030202123</v>
      </c>
    </row>
    <row r="88" spans="1:46" ht="22.5" x14ac:dyDescent="0.25">
      <c r="A88" s="14" t="s">
        <v>640</v>
      </c>
      <c r="B88" s="15" t="s">
        <v>176</v>
      </c>
      <c r="C88" s="15" t="s">
        <v>641</v>
      </c>
      <c r="D88" s="14" t="s">
        <v>318</v>
      </c>
      <c r="E88" s="15" t="s">
        <v>290</v>
      </c>
      <c r="F88" s="16" t="s">
        <v>642</v>
      </c>
      <c r="G88" s="17">
        <v>830131674</v>
      </c>
      <c r="H88" s="17">
        <v>7</v>
      </c>
      <c r="I88" s="49" t="s">
        <v>643</v>
      </c>
      <c r="J88" s="104"/>
      <c r="K88" s="15"/>
      <c r="L88" s="26"/>
      <c r="M88" s="22">
        <v>44275000</v>
      </c>
      <c r="N88" s="50">
        <v>96418</v>
      </c>
      <c r="O88" s="50"/>
      <c r="P88" s="51">
        <v>0</v>
      </c>
      <c r="Q88" s="21">
        <f t="shared" si="5"/>
        <v>44275000</v>
      </c>
      <c r="R88" s="22">
        <v>44264220</v>
      </c>
      <c r="S88" s="23">
        <f>+Q88-R88</f>
        <v>10780</v>
      </c>
      <c r="T88" s="22">
        <v>10780</v>
      </c>
      <c r="U88" s="26">
        <v>43250</v>
      </c>
      <c r="V88" s="26">
        <v>43252</v>
      </c>
      <c r="W88" s="25">
        <v>43465</v>
      </c>
      <c r="X88" s="25"/>
      <c r="Y88" s="25">
        <f>W88+120</f>
        <v>43585</v>
      </c>
      <c r="Z88" s="25"/>
      <c r="AA88" s="25"/>
      <c r="AB88" s="15" t="s">
        <v>51</v>
      </c>
      <c r="AC88" s="26">
        <v>43524</v>
      </c>
      <c r="AD88" s="26" t="s">
        <v>52</v>
      </c>
      <c r="AE88" s="26" t="s">
        <v>632</v>
      </c>
      <c r="AF88" s="110"/>
      <c r="AG88" s="29" t="s">
        <v>633</v>
      </c>
      <c r="AH88" s="29" t="s">
        <v>567</v>
      </c>
      <c r="AI88" s="29">
        <v>43258</v>
      </c>
      <c r="AJ88" s="28">
        <v>1000466932</v>
      </c>
      <c r="AK88" s="29" t="s">
        <v>322</v>
      </c>
      <c r="AL88" s="29">
        <v>43282</v>
      </c>
      <c r="AM88" s="27" t="s">
        <v>323</v>
      </c>
      <c r="AN88" s="70" t="s">
        <v>644</v>
      </c>
      <c r="AO88" s="27" t="s">
        <v>645</v>
      </c>
      <c r="AP88" s="33">
        <v>0.55000000000000004</v>
      </c>
      <c r="AQ88" s="80">
        <v>24351250</v>
      </c>
      <c r="AR88" s="35" t="s">
        <v>646</v>
      </c>
      <c r="AS88" s="59" t="s">
        <v>647</v>
      </c>
      <c r="AT88" s="27" t="s">
        <v>648</v>
      </c>
    </row>
    <row r="89" spans="1:46" ht="45" x14ac:dyDescent="0.25">
      <c r="A89" s="14" t="s">
        <v>649</v>
      </c>
      <c r="B89" s="15" t="s">
        <v>311</v>
      </c>
      <c r="C89" s="15" t="s">
        <v>650</v>
      </c>
      <c r="D89" s="14" t="s">
        <v>266</v>
      </c>
      <c r="E89" s="15" t="s">
        <v>120</v>
      </c>
      <c r="F89" s="16" t="s">
        <v>651</v>
      </c>
      <c r="G89" s="17">
        <v>800205914</v>
      </c>
      <c r="H89" s="17">
        <v>1</v>
      </c>
      <c r="I89" s="18" t="s">
        <v>652</v>
      </c>
      <c r="J89" s="104"/>
      <c r="K89" s="15" t="s">
        <v>464</v>
      </c>
      <c r="L89" s="26"/>
      <c r="M89" s="55">
        <v>934152030</v>
      </c>
      <c r="N89" s="50">
        <v>98418</v>
      </c>
      <c r="O89" s="50"/>
      <c r="P89" s="48">
        <v>0</v>
      </c>
      <c r="Q89" s="21">
        <f t="shared" si="5"/>
        <v>934152030</v>
      </c>
      <c r="R89" s="55"/>
      <c r="S89" s="23">
        <f t="shared" si="6"/>
        <v>934152030</v>
      </c>
      <c r="T89" s="115"/>
      <c r="U89" s="26">
        <v>43251</v>
      </c>
      <c r="V89" s="26">
        <v>43251</v>
      </c>
      <c r="W89" s="25">
        <v>43312</v>
      </c>
      <c r="X89" s="25"/>
      <c r="Y89" s="37"/>
      <c r="Z89" s="37"/>
      <c r="AA89" s="37"/>
      <c r="AB89" s="15" t="s">
        <v>51</v>
      </c>
      <c r="AC89" s="26">
        <v>43524</v>
      </c>
      <c r="AD89" s="26" t="s">
        <v>52</v>
      </c>
      <c r="AE89" s="26" t="s">
        <v>632</v>
      </c>
      <c r="AF89" s="110"/>
      <c r="AG89" s="27" t="s">
        <v>137</v>
      </c>
      <c r="AH89" s="29" t="s">
        <v>653</v>
      </c>
      <c r="AI89" s="106">
        <v>43263</v>
      </c>
      <c r="AJ89" s="28">
        <v>74244103</v>
      </c>
      <c r="AK89" s="29" t="s">
        <v>126</v>
      </c>
      <c r="AL89" s="29">
        <v>43263</v>
      </c>
      <c r="AM89" s="31" t="s">
        <v>654</v>
      </c>
      <c r="AN89" s="132" t="s">
        <v>655</v>
      </c>
      <c r="AO89" s="57" t="s">
        <v>305</v>
      </c>
      <c r="AP89" s="33" t="s">
        <v>656</v>
      </c>
      <c r="AQ89" s="108">
        <f>467076015+420368413+46707601.5+156248400</f>
        <v>1090400429.5</v>
      </c>
      <c r="AR89" s="32" t="s">
        <v>657</v>
      </c>
      <c r="AS89" s="59" t="s">
        <v>658</v>
      </c>
      <c r="AT89" s="31" t="s">
        <v>659</v>
      </c>
    </row>
    <row r="90" spans="1:46" ht="22.5" x14ac:dyDescent="0.25">
      <c r="A90" s="14" t="s">
        <v>660</v>
      </c>
      <c r="B90" s="15" t="s">
        <v>176</v>
      </c>
      <c r="C90" s="15" t="s">
        <v>661</v>
      </c>
      <c r="D90" s="15" t="s">
        <v>196</v>
      </c>
      <c r="E90" s="15" t="s">
        <v>120</v>
      </c>
      <c r="F90" s="16" t="s">
        <v>662</v>
      </c>
      <c r="G90" s="17">
        <v>900987504</v>
      </c>
      <c r="H90" s="17">
        <v>0</v>
      </c>
      <c r="I90" s="18" t="s">
        <v>663</v>
      </c>
      <c r="J90" s="104" t="s">
        <v>349</v>
      </c>
      <c r="K90" s="15" t="s">
        <v>350</v>
      </c>
      <c r="L90" s="26"/>
      <c r="M90" s="55">
        <v>17500000</v>
      </c>
      <c r="N90" s="50">
        <v>99318</v>
      </c>
      <c r="O90" s="50"/>
      <c r="P90" s="48">
        <v>0</v>
      </c>
      <c r="Q90" s="21">
        <f t="shared" si="5"/>
        <v>17500000</v>
      </c>
      <c r="R90" s="55"/>
      <c r="S90" s="23">
        <f t="shared" si="6"/>
        <v>17500000</v>
      </c>
      <c r="T90" s="115"/>
      <c r="U90" s="26">
        <v>43258</v>
      </c>
      <c r="V90" s="26">
        <v>43258</v>
      </c>
      <c r="W90" s="25">
        <v>43465</v>
      </c>
      <c r="X90" s="25"/>
      <c r="Y90" s="37"/>
      <c r="Z90" s="37"/>
      <c r="AA90" s="37"/>
      <c r="AB90" s="15" t="s">
        <v>51</v>
      </c>
      <c r="AC90" s="26">
        <v>43567</v>
      </c>
      <c r="AD90" s="26"/>
      <c r="AE90" s="26" t="s">
        <v>632</v>
      </c>
      <c r="AF90" s="110"/>
      <c r="AG90" s="27" t="s">
        <v>137</v>
      </c>
      <c r="AH90" s="29" t="s">
        <v>664</v>
      </c>
      <c r="AI90" s="120"/>
      <c r="AJ90" s="28">
        <v>1010178884</v>
      </c>
      <c r="AK90" s="29" t="s">
        <v>126</v>
      </c>
      <c r="AL90" s="29">
        <v>43272</v>
      </c>
      <c r="AM90" s="31" t="s">
        <v>578</v>
      </c>
      <c r="AN90" s="132">
        <v>2928266</v>
      </c>
      <c r="AO90" s="57" t="s">
        <v>665</v>
      </c>
      <c r="AP90" s="33">
        <v>0.75</v>
      </c>
      <c r="AQ90" s="108">
        <f>3500000+8750000+875000</f>
        <v>13125000</v>
      </c>
      <c r="AR90" s="32" t="s">
        <v>666</v>
      </c>
      <c r="AS90" s="59"/>
      <c r="AT90" s="31" t="s">
        <v>667</v>
      </c>
    </row>
    <row r="91" spans="1:46" ht="22.5" x14ac:dyDescent="0.25">
      <c r="A91" s="14" t="s">
        <v>668</v>
      </c>
      <c r="B91" s="15" t="s">
        <v>288</v>
      </c>
      <c r="C91" s="15" t="s">
        <v>669</v>
      </c>
      <c r="D91" s="15" t="s">
        <v>196</v>
      </c>
      <c r="E91" s="15" t="s">
        <v>120</v>
      </c>
      <c r="F91" s="16" t="s">
        <v>670</v>
      </c>
      <c r="G91" s="17">
        <v>12136381</v>
      </c>
      <c r="H91" s="17"/>
      <c r="I91" s="49" t="s">
        <v>671</v>
      </c>
      <c r="J91" s="104"/>
      <c r="K91" s="15"/>
      <c r="L91" s="26"/>
      <c r="M91" s="55">
        <v>177279592</v>
      </c>
      <c r="N91" s="50">
        <v>101118</v>
      </c>
      <c r="O91" s="50"/>
      <c r="P91" s="21"/>
      <c r="Q91" s="21">
        <f t="shared" si="5"/>
        <v>177279592</v>
      </c>
      <c r="R91" s="133">
        <f>35455918+124095714</f>
        <v>159551632</v>
      </c>
      <c r="S91" s="23">
        <f t="shared" si="6"/>
        <v>17727960</v>
      </c>
      <c r="T91" s="115"/>
      <c r="U91" s="26">
        <v>43263</v>
      </c>
      <c r="V91" s="26">
        <v>43263</v>
      </c>
      <c r="W91" s="25">
        <v>43369</v>
      </c>
      <c r="X91" s="25"/>
      <c r="Y91" s="37"/>
      <c r="Z91" s="37"/>
      <c r="AA91" s="37"/>
      <c r="AB91" s="15" t="s">
        <v>51</v>
      </c>
      <c r="AC91" s="26">
        <v>43153</v>
      </c>
      <c r="AD91" s="26"/>
      <c r="AE91" s="26"/>
      <c r="AF91" s="110"/>
      <c r="AG91" s="27" t="s">
        <v>137</v>
      </c>
      <c r="AH91" s="29" t="s">
        <v>653</v>
      </c>
      <c r="AI91" s="106">
        <v>43264</v>
      </c>
      <c r="AJ91" s="28">
        <v>74244103</v>
      </c>
      <c r="AK91" s="29" t="s">
        <v>126</v>
      </c>
      <c r="AL91" s="29">
        <v>43264</v>
      </c>
      <c r="AM91" s="31" t="s">
        <v>672</v>
      </c>
      <c r="AN91" s="132" t="s">
        <v>673</v>
      </c>
      <c r="AO91" s="57" t="s">
        <v>305</v>
      </c>
      <c r="AP91" s="33" t="s">
        <v>656</v>
      </c>
      <c r="AQ91" s="108">
        <f>35455918.4+70911836.8+62047857.2+8863979.6+156248400</f>
        <v>333527992</v>
      </c>
      <c r="AR91" s="32" t="s">
        <v>674</v>
      </c>
      <c r="AS91" s="59" t="s">
        <v>675</v>
      </c>
      <c r="AT91" s="31" t="s">
        <v>676</v>
      </c>
    </row>
    <row r="92" spans="1:46" ht="22.5" x14ac:dyDescent="0.25">
      <c r="A92" s="14" t="s">
        <v>677</v>
      </c>
      <c r="B92" s="15" t="s">
        <v>176</v>
      </c>
      <c r="C92" s="15" t="s">
        <v>678</v>
      </c>
      <c r="D92" s="15" t="s">
        <v>196</v>
      </c>
      <c r="E92" s="15" t="s">
        <v>120</v>
      </c>
      <c r="F92" s="16" t="s">
        <v>679</v>
      </c>
      <c r="G92" s="17">
        <v>901163043</v>
      </c>
      <c r="H92" s="17">
        <v>4</v>
      </c>
      <c r="I92" s="18" t="s">
        <v>680</v>
      </c>
      <c r="J92" s="104" t="s">
        <v>349</v>
      </c>
      <c r="K92" s="15" t="s">
        <v>350</v>
      </c>
      <c r="L92" s="26"/>
      <c r="M92" s="55">
        <v>45870000</v>
      </c>
      <c r="N92" s="50">
        <v>100218</v>
      </c>
      <c r="O92" s="55"/>
      <c r="P92" s="21"/>
      <c r="Q92" s="21">
        <f>+O92+M92</f>
        <v>45870000</v>
      </c>
      <c r="R92" s="55">
        <v>35937001</v>
      </c>
      <c r="S92" s="23">
        <f t="shared" si="6"/>
        <v>9932999</v>
      </c>
      <c r="T92" s="115"/>
      <c r="U92" s="26">
        <v>43263</v>
      </c>
      <c r="V92" s="26">
        <v>43263</v>
      </c>
      <c r="W92" s="25">
        <v>43404</v>
      </c>
      <c r="X92" s="25"/>
      <c r="Y92" s="37"/>
      <c r="Z92" s="25">
        <v>43465</v>
      </c>
      <c r="AA92" s="25"/>
      <c r="AB92" s="15" t="s">
        <v>51</v>
      </c>
      <c r="AC92" s="26">
        <v>43570</v>
      </c>
      <c r="AD92" s="26"/>
      <c r="AE92" s="26"/>
      <c r="AF92" s="110"/>
      <c r="AG92" s="29" t="s">
        <v>137</v>
      </c>
      <c r="AH92" s="29" t="s">
        <v>681</v>
      </c>
      <c r="AI92" s="120"/>
      <c r="AJ92" s="28">
        <v>12239151</v>
      </c>
      <c r="AK92" s="29" t="s">
        <v>126</v>
      </c>
      <c r="AL92" s="29">
        <v>43265</v>
      </c>
      <c r="AM92" s="31" t="s">
        <v>95</v>
      </c>
      <c r="AN92" s="132" t="s">
        <v>682</v>
      </c>
      <c r="AO92" s="57" t="s">
        <v>305</v>
      </c>
      <c r="AP92" s="107" t="s">
        <v>434</v>
      </c>
      <c r="AQ92" s="108">
        <f>9174000+22935000+2293500+156248400</f>
        <v>190650900</v>
      </c>
      <c r="AR92" s="32" t="s">
        <v>683</v>
      </c>
      <c r="AS92" s="59"/>
      <c r="AT92" s="31" t="s">
        <v>684</v>
      </c>
    </row>
    <row r="93" spans="1:46" ht="22.5" x14ac:dyDescent="0.25">
      <c r="A93" s="14" t="s">
        <v>685</v>
      </c>
      <c r="B93" s="15" t="s">
        <v>176</v>
      </c>
      <c r="C93" s="15" t="s">
        <v>678</v>
      </c>
      <c r="D93" s="14" t="s">
        <v>196</v>
      </c>
      <c r="E93" s="15" t="s">
        <v>120</v>
      </c>
      <c r="F93" s="16" t="s">
        <v>679</v>
      </c>
      <c r="G93" s="17">
        <v>901163043</v>
      </c>
      <c r="H93" s="17">
        <v>4</v>
      </c>
      <c r="I93" s="18" t="s">
        <v>680</v>
      </c>
      <c r="J93" s="104"/>
      <c r="K93" s="15"/>
      <c r="L93" s="26"/>
      <c r="M93" s="55"/>
      <c r="N93" s="50"/>
      <c r="O93" s="55"/>
      <c r="P93" s="21">
        <v>22632001</v>
      </c>
      <c r="Q93" s="21"/>
      <c r="R93" s="55"/>
      <c r="S93" s="23"/>
      <c r="T93" s="115"/>
      <c r="U93" s="26"/>
      <c r="V93" s="26"/>
      <c r="W93" s="25"/>
      <c r="X93" s="25"/>
      <c r="Y93" s="37"/>
      <c r="Z93" s="25">
        <v>43465</v>
      </c>
      <c r="AA93" s="25"/>
      <c r="AB93" s="15" t="s">
        <v>51</v>
      </c>
      <c r="AC93" s="26">
        <v>43570</v>
      </c>
      <c r="AD93" s="26"/>
      <c r="AE93" s="26" t="s">
        <v>686</v>
      </c>
      <c r="AF93" s="110"/>
      <c r="AG93" s="29" t="s">
        <v>137</v>
      </c>
      <c r="AH93" s="29" t="s">
        <v>681</v>
      </c>
      <c r="AI93" s="120"/>
      <c r="AJ93" s="28">
        <v>12239151</v>
      </c>
      <c r="AK93" s="29" t="s">
        <v>126</v>
      </c>
      <c r="AL93" s="29">
        <v>43265</v>
      </c>
      <c r="AM93" s="31" t="s">
        <v>95</v>
      </c>
      <c r="AN93" s="132" t="s">
        <v>682</v>
      </c>
      <c r="AO93" s="57"/>
      <c r="AP93" s="107"/>
      <c r="AQ93" s="108"/>
      <c r="AR93" s="32">
        <v>4300001866</v>
      </c>
      <c r="AS93" s="59"/>
      <c r="AT93" s="31"/>
    </row>
    <row r="94" spans="1:46" ht="22.5" x14ac:dyDescent="0.25">
      <c r="A94" s="14" t="s">
        <v>687</v>
      </c>
      <c r="B94" s="15" t="s">
        <v>288</v>
      </c>
      <c r="C94" s="15" t="s">
        <v>688</v>
      </c>
      <c r="D94" s="14" t="s">
        <v>196</v>
      </c>
      <c r="E94" s="15" t="s">
        <v>120</v>
      </c>
      <c r="F94" s="16" t="s">
        <v>689</v>
      </c>
      <c r="G94" s="17">
        <v>1098616374</v>
      </c>
      <c r="H94" s="17"/>
      <c r="I94" s="18" t="s">
        <v>690</v>
      </c>
      <c r="J94" s="104"/>
      <c r="K94" s="15" t="s">
        <v>464</v>
      </c>
      <c r="L94" s="26"/>
      <c r="M94" s="55">
        <v>235255938</v>
      </c>
      <c r="N94" s="50">
        <v>105718</v>
      </c>
      <c r="O94" s="50"/>
      <c r="P94" s="48">
        <v>0</v>
      </c>
      <c r="Q94" s="21">
        <f t="shared" si="5"/>
        <v>235255938</v>
      </c>
      <c r="R94" s="55">
        <v>117627970</v>
      </c>
      <c r="S94" s="23">
        <f t="shared" si="6"/>
        <v>117627968</v>
      </c>
      <c r="T94" s="115"/>
      <c r="U94" s="26">
        <v>43263</v>
      </c>
      <c r="V94" s="26">
        <v>43263</v>
      </c>
      <c r="W94" s="25">
        <v>43369</v>
      </c>
      <c r="X94" s="25"/>
      <c r="Y94" s="37"/>
      <c r="Z94" s="37"/>
      <c r="AA94" s="37"/>
      <c r="AB94" s="15" t="s">
        <v>51</v>
      </c>
      <c r="AC94" s="26">
        <v>43635</v>
      </c>
      <c r="AD94" s="26" t="s">
        <v>691</v>
      </c>
      <c r="AE94" s="26"/>
      <c r="AF94" s="110"/>
      <c r="AG94" s="27" t="s">
        <v>137</v>
      </c>
      <c r="AH94" s="29" t="s">
        <v>653</v>
      </c>
      <c r="AI94" s="120"/>
      <c r="AJ94" s="28">
        <v>74244103</v>
      </c>
      <c r="AK94" s="29" t="s">
        <v>126</v>
      </c>
      <c r="AL94" s="29">
        <v>43269</v>
      </c>
      <c r="AM94" s="31" t="s">
        <v>692</v>
      </c>
      <c r="AN94" s="132" t="s">
        <v>693</v>
      </c>
      <c r="AO94" s="57" t="s">
        <v>305</v>
      </c>
      <c r="AP94" s="107" t="s">
        <v>434</v>
      </c>
      <c r="AQ94" s="108">
        <f>47051187.6+117627969+11762796.9+156248400</f>
        <v>332690353.5</v>
      </c>
      <c r="AR94" s="70" t="s">
        <v>694</v>
      </c>
      <c r="AS94" s="59" t="s">
        <v>675</v>
      </c>
      <c r="AT94" s="31" t="s">
        <v>695</v>
      </c>
    </row>
    <row r="95" spans="1:46" ht="33.75" x14ac:dyDescent="0.25">
      <c r="A95" s="14" t="s">
        <v>696</v>
      </c>
      <c r="B95" s="15" t="s">
        <v>176</v>
      </c>
      <c r="C95" s="15" t="s">
        <v>661</v>
      </c>
      <c r="D95" s="14" t="s">
        <v>196</v>
      </c>
      <c r="E95" s="15" t="s">
        <v>120</v>
      </c>
      <c r="F95" s="16" t="s">
        <v>697</v>
      </c>
      <c r="G95" s="17">
        <v>900345403</v>
      </c>
      <c r="H95" s="17">
        <v>0</v>
      </c>
      <c r="I95" s="18" t="s">
        <v>698</v>
      </c>
      <c r="J95" s="104" t="s">
        <v>349</v>
      </c>
      <c r="K95" s="15" t="s">
        <v>350</v>
      </c>
      <c r="L95" s="26"/>
      <c r="M95" s="55">
        <v>25000000</v>
      </c>
      <c r="N95" s="50">
        <v>100118</v>
      </c>
      <c r="O95" s="50"/>
      <c r="P95" s="48">
        <v>0</v>
      </c>
      <c r="Q95" s="21">
        <f t="shared" si="5"/>
        <v>25000000</v>
      </c>
      <c r="R95" s="55">
        <v>9999999</v>
      </c>
      <c r="S95" s="23">
        <f t="shared" si="6"/>
        <v>15000001</v>
      </c>
      <c r="T95" s="115"/>
      <c r="U95" s="26">
        <v>43264</v>
      </c>
      <c r="V95" s="26">
        <v>43264</v>
      </c>
      <c r="W95" s="25">
        <v>43465</v>
      </c>
      <c r="X95" s="25"/>
      <c r="Y95" s="37"/>
      <c r="Z95" s="37"/>
      <c r="AA95" s="37"/>
      <c r="AB95" s="15" t="s">
        <v>51</v>
      </c>
      <c r="AC95" s="26">
        <v>43536</v>
      </c>
      <c r="AD95" s="26" t="s">
        <v>52</v>
      </c>
      <c r="AE95" s="26" t="s">
        <v>686</v>
      </c>
      <c r="AF95" s="110"/>
      <c r="AG95" s="29" t="s">
        <v>538</v>
      </c>
      <c r="AH95" s="29" t="s">
        <v>699</v>
      </c>
      <c r="AI95" s="120"/>
      <c r="AJ95" s="28">
        <v>52970152</v>
      </c>
      <c r="AK95" s="29" t="s">
        <v>126</v>
      </c>
      <c r="AL95" s="29">
        <v>43265</v>
      </c>
      <c r="AM95" s="31" t="s">
        <v>95</v>
      </c>
      <c r="AN95" s="132" t="s">
        <v>700</v>
      </c>
      <c r="AO95" s="57" t="s">
        <v>352</v>
      </c>
      <c r="AP95" s="107">
        <v>0.95</v>
      </c>
      <c r="AQ95" s="108">
        <f>10000000+12500000+1250000</f>
        <v>23750000</v>
      </c>
      <c r="AR95" s="32" t="s">
        <v>701</v>
      </c>
      <c r="AS95" s="59"/>
      <c r="AT95" s="31" t="s">
        <v>702</v>
      </c>
    </row>
    <row r="96" spans="1:46" ht="45" x14ac:dyDescent="0.25">
      <c r="A96" s="14" t="s">
        <v>703</v>
      </c>
      <c r="B96" s="15" t="s">
        <v>288</v>
      </c>
      <c r="C96" s="15" t="s">
        <v>704</v>
      </c>
      <c r="D96" s="14" t="s">
        <v>266</v>
      </c>
      <c r="E96" s="15" t="s">
        <v>628</v>
      </c>
      <c r="F96" s="16" t="s">
        <v>593</v>
      </c>
      <c r="G96" s="17">
        <v>900108074</v>
      </c>
      <c r="H96" s="17">
        <v>5</v>
      </c>
      <c r="I96" s="18" t="s">
        <v>705</v>
      </c>
      <c r="J96" s="104" t="s">
        <v>706</v>
      </c>
      <c r="K96" s="15" t="s">
        <v>464</v>
      </c>
      <c r="L96" s="134">
        <v>43311</v>
      </c>
      <c r="M96" s="22">
        <v>520000000</v>
      </c>
      <c r="N96" s="50">
        <v>105518</v>
      </c>
      <c r="O96" s="50"/>
      <c r="P96" s="51">
        <v>0</v>
      </c>
      <c r="Q96" s="21">
        <f t="shared" si="5"/>
        <v>520000000</v>
      </c>
      <c r="R96" s="22">
        <v>10000000</v>
      </c>
      <c r="S96" s="23">
        <f t="shared" si="6"/>
        <v>510000000</v>
      </c>
      <c r="T96" s="115" t="s">
        <v>631</v>
      </c>
      <c r="U96" s="26">
        <v>43264</v>
      </c>
      <c r="V96" s="26" t="s">
        <v>707</v>
      </c>
      <c r="W96" s="25">
        <v>43465</v>
      </c>
      <c r="X96" s="25"/>
      <c r="Y96" s="25">
        <v>43554</v>
      </c>
      <c r="Z96" s="25" t="s">
        <v>480</v>
      </c>
      <c r="AA96" s="25"/>
      <c r="AB96" s="15" t="s">
        <v>51</v>
      </c>
      <c r="AC96" s="26">
        <v>43630</v>
      </c>
      <c r="AD96" s="26"/>
      <c r="AE96" s="122"/>
      <c r="AF96" s="60"/>
      <c r="AG96" s="29" t="s">
        <v>137</v>
      </c>
      <c r="AH96" s="29" t="s">
        <v>413</v>
      </c>
      <c r="AI96" s="29">
        <v>43270</v>
      </c>
      <c r="AJ96" s="28" t="s">
        <v>708</v>
      </c>
      <c r="AK96" s="29" t="s">
        <v>126</v>
      </c>
      <c r="AL96" s="29">
        <v>43265</v>
      </c>
      <c r="AM96" s="27" t="s">
        <v>95</v>
      </c>
      <c r="AN96" s="70" t="s">
        <v>709</v>
      </c>
      <c r="AO96" s="27" t="s">
        <v>305</v>
      </c>
      <c r="AP96" s="107" t="s">
        <v>710</v>
      </c>
      <c r="AQ96" s="80">
        <v>442000000</v>
      </c>
      <c r="AR96" s="70" t="s">
        <v>711</v>
      </c>
      <c r="AS96" s="59" t="s">
        <v>712</v>
      </c>
      <c r="AT96" s="116">
        <v>20186030202223</v>
      </c>
    </row>
    <row r="97" spans="1:46" ht="45" x14ac:dyDescent="0.25">
      <c r="A97" s="14" t="s">
        <v>713</v>
      </c>
      <c r="B97" s="15" t="s">
        <v>288</v>
      </c>
      <c r="C97" s="15" t="s">
        <v>704</v>
      </c>
      <c r="D97" s="14" t="s">
        <v>266</v>
      </c>
      <c r="E97" s="15" t="s">
        <v>280</v>
      </c>
      <c r="F97" s="16" t="s">
        <v>714</v>
      </c>
      <c r="G97" s="17">
        <v>830095213</v>
      </c>
      <c r="H97" s="17">
        <v>0</v>
      </c>
      <c r="I97" s="18" t="s">
        <v>715</v>
      </c>
      <c r="J97" s="104" t="s">
        <v>716</v>
      </c>
      <c r="K97" s="15" t="s">
        <v>464</v>
      </c>
      <c r="L97" s="134">
        <v>43327</v>
      </c>
      <c r="M97" s="22">
        <v>820000000</v>
      </c>
      <c r="N97" s="50">
        <v>112918</v>
      </c>
      <c r="O97" s="50"/>
      <c r="P97" s="51">
        <v>0</v>
      </c>
      <c r="Q97" s="21">
        <f t="shared" si="5"/>
        <v>820000000</v>
      </c>
      <c r="R97" s="22">
        <v>519690340</v>
      </c>
      <c r="S97" s="23">
        <f t="shared" si="6"/>
        <v>300309660</v>
      </c>
      <c r="T97" s="115" t="s">
        <v>631</v>
      </c>
      <c r="U97" s="26">
        <v>43264</v>
      </c>
      <c r="V97" s="26">
        <v>43264</v>
      </c>
      <c r="W97" s="25">
        <v>43465</v>
      </c>
      <c r="X97" s="25"/>
      <c r="Y97" s="25">
        <v>43554</v>
      </c>
      <c r="Z97" s="25" t="s">
        <v>480</v>
      </c>
      <c r="AA97" s="25"/>
      <c r="AB97" s="15" t="s">
        <v>51</v>
      </c>
      <c r="AC97" s="26">
        <v>43676</v>
      </c>
      <c r="AD97" s="26"/>
      <c r="AE97" s="26"/>
      <c r="AF97" s="60"/>
      <c r="AG97" s="29" t="s">
        <v>137</v>
      </c>
      <c r="AH97" s="29" t="s">
        <v>413</v>
      </c>
      <c r="AI97" s="29">
        <v>43270</v>
      </c>
      <c r="AJ97" s="28" t="s">
        <v>708</v>
      </c>
      <c r="AK97" s="29" t="s">
        <v>126</v>
      </c>
      <c r="AL97" s="29">
        <v>43266</v>
      </c>
      <c r="AM97" s="27" t="s">
        <v>717</v>
      </c>
      <c r="AN97" s="70" t="s">
        <v>718</v>
      </c>
      <c r="AO97" s="27" t="s">
        <v>305</v>
      </c>
      <c r="AP97" s="107" t="s">
        <v>710</v>
      </c>
      <c r="AQ97" s="80">
        <v>697000000</v>
      </c>
      <c r="AR97" s="70" t="s">
        <v>719</v>
      </c>
      <c r="AS97" s="59" t="s">
        <v>712</v>
      </c>
      <c r="AT97" s="116">
        <v>20186030202353</v>
      </c>
    </row>
    <row r="98" spans="1:46" ht="22.5" x14ac:dyDescent="0.25">
      <c r="A98" s="14" t="s">
        <v>720</v>
      </c>
      <c r="B98" s="15" t="s">
        <v>176</v>
      </c>
      <c r="C98" s="15" t="s">
        <v>721</v>
      </c>
      <c r="D98" s="14" t="s">
        <v>266</v>
      </c>
      <c r="E98" s="15" t="s">
        <v>85</v>
      </c>
      <c r="F98" s="16" t="s">
        <v>722</v>
      </c>
      <c r="G98" s="17">
        <v>830144875</v>
      </c>
      <c r="H98" s="17">
        <v>7</v>
      </c>
      <c r="I98" s="49" t="s">
        <v>723</v>
      </c>
      <c r="J98" s="104"/>
      <c r="K98" s="15"/>
      <c r="L98" s="26"/>
      <c r="M98" s="22">
        <v>26060566</v>
      </c>
      <c r="N98" s="50" t="s">
        <v>724</v>
      </c>
      <c r="O98" s="50"/>
      <c r="P98" s="23">
        <v>0</v>
      </c>
      <c r="Q98" s="21">
        <v>26060566</v>
      </c>
      <c r="R98" s="21">
        <v>26060566</v>
      </c>
      <c r="S98" s="23">
        <f t="shared" si="6"/>
        <v>0</v>
      </c>
      <c r="T98" s="115">
        <v>0</v>
      </c>
      <c r="U98" s="26">
        <v>43265</v>
      </c>
      <c r="V98" s="26">
        <v>43279</v>
      </c>
      <c r="W98" s="25">
        <v>43350</v>
      </c>
      <c r="X98" s="25"/>
      <c r="Y98" s="25">
        <v>43107</v>
      </c>
      <c r="Z98" s="25">
        <v>43350</v>
      </c>
      <c r="AA98" s="25"/>
      <c r="AB98" s="15" t="s">
        <v>51</v>
      </c>
      <c r="AC98" s="26">
        <v>43432</v>
      </c>
      <c r="AD98" s="26" t="s">
        <v>52</v>
      </c>
      <c r="AE98" s="26"/>
      <c r="AF98" s="110"/>
      <c r="AG98" s="29" t="s">
        <v>335</v>
      </c>
      <c r="AH98" s="29" t="s">
        <v>587</v>
      </c>
      <c r="AI98" s="29">
        <v>43256</v>
      </c>
      <c r="AJ98" s="28">
        <v>52821029</v>
      </c>
      <c r="AK98" s="29" t="s">
        <v>322</v>
      </c>
      <c r="AL98" s="29">
        <v>43266</v>
      </c>
      <c r="AM98" s="27" t="s">
        <v>323</v>
      </c>
      <c r="AN98" s="32" t="s">
        <v>725</v>
      </c>
      <c r="AO98" s="27" t="s">
        <v>726</v>
      </c>
      <c r="AP98" s="33">
        <v>0.25</v>
      </c>
      <c r="AQ98" s="80">
        <v>6515141</v>
      </c>
      <c r="AR98" s="32">
        <v>4000001099</v>
      </c>
      <c r="AS98" s="59" t="s">
        <v>727</v>
      </c>
      <c r="AT98" s="27" t="s">
        <v>728</v>
      </c>
    </row>
    <row r="99" spans="1:46" ht="33.75" x14ac:dyDescent="0.25">
      <c r="A99" s="14" t="s">
        <v>729</v>
      </c>
      <c r="B99" s="15" t="s">
        <v>288</v>
      </c>
      <c r="C99" s="15" t="s">
        <v>730</v>
      </c>
      <c r="D99" s="14" t="s">
        <v>196</v>
      </c>
      <c r="E99" s="15" t="s">
        <v>85</v>
      </c>
      <c r="F99" s="16" t="s">
        <v>731</v>
      </c>
      <c r="G99" s="17">
        <v>830006177</v>
      </c>
      <c r="H99" s="17">
        <v>3</v>
      </c>
      <c r="I99" s="49" t="s">
        <v>732</v>
      </c>
      <c r="J99" s="104"/>
      <c r="K99" s="15"/>
      <c r="L99" s="26"/>
      <c r="M99" s="22">
        <v>300000000</v>
      </c>
      <c r="N99" s="50">
        <v>110118</v>
      </c>
      <c r="O99" s="50"/>
      <c r="P99" s="51">
        <v>0</v>
      </c>
      <c r="Q99" s="21">
        <f t="shared" si="5"/>
        <v>300000000</v>
      </c>
      <c r="R99" s="21">
        <v>91122407</v>
      </c>
      <c r="S99" s="23">
        <f t="shared" si="6"/>
        <v>208877593</v>
      </c>
      <c r="T99" s="115">
        <v>0</v>
      </c>
      <c r="U99" s="26">
        <v>43265</v>
      </c>
      <c r="V99" s="26">
        <v>43279</v>
      </c>
      <c r="W99" s="25">
        <v>43454</v>
      </c>
      <c r="X99" s="25"/>
      <c r="Y99" s="25">
        <f>Z99+120</f>
        <v>43574</v>
      </c>
      <c r="Z99" s="25">
        <v>43454</v>
      </c>
      <c r="AA99" s="25"/>
      <c r="AB99" s="15" t="s">
        <v>51</v>
      </c>
      <c r="AC99" s="26">
        <v>43516</v>
      </c>
      <c r="AD99" s="26"/>
      <c r="AE99" s="26"/>
      <c r="AF99" s="110"/>
      <c r="AG99" s="29" t="s">
        <v>137</v>
      </c>
      <c r="AH99" s="29" t="s">
        <v>733</v>
      </c>
      <c r="AI99" s="29">
        <v>43286</v>
      </c>
      <c r="AJ99" s="28">
        <v>39534222</v>
      </c>
      <c r="AK99" s="29" t="s">
        <v>322</v>
      </c>
      <c r="AL99" s="29">
        <v>43266</v>
      </c>
      <c r="AM99" s="27" t="s">
        <v>323</v>
      </c>
      <c r="AN99" s="70" t="s">
        <v>734</v>
      </c>
      <c r="AO99" s="27" t="s">
        <v>735</v>
      </c>
      <c r="AP99" s="33">
        <v>1.25</v>
      </c>
      <c r="AQ99" s="80">
        <f>225000000+156248400</f>
        <v>381248400</v>
      </c>
      <c r="AR99" s="32" t="s">
        <v>736</v>
      </c>
      <c r="AS99" s="59" t="s">
        <v>389</v>
      </c>
      <c r="AT99" s="27" t="s">
        <v>737</v>
      </c>
    </row>
    <row r="100" spans="1:46" ht="33.75" x14ac:dyDescent="0.25">
      <c r="A100" s="14" t="s">
        <v>738</v>
      </c>
      <c r="B100" s="15" t="s">
        <v>176</v>
      </c>
      <c r="C100" s="15" t="s">
        <v>739</v>
      </c>
      <c r="D100" s="14" t="s">
        <v>502</v>
      </c>
      <c r="E100" s="15" t="s">
        <v>120</v>
      </c>
      <c r="F100" s="16" t="s">
        <v>740</v>
      </c>
      <c r="G100" s="17">
        <v>900709559</v>
      </c>
      <c r="H100" s="17">
        <v>4</v>
      </c>
      <c r="I100" s="18" t="s">
        <v>741</v>
      </c>
      <c r="J100" s="104" t="s">
        <v>349</v>
      </c>
      <c r="K100" s="15"/>
      <c r="L100" s="26"/>
      <c r="M100" s="55">
        <v>30000000</v>
      </c>
      <c r="N100" s="50">
        <v>106918</v>
      </c>
      <c r="O100" s="50"/>
      <c r="P100" s="21"/>
      <c r="Q100" s="21">
        <v>30000000</v>
      </c>
      <c r="R100" s="55">
        <v>29942107</v>
      </c>
      <c r="S100" s="23">
        <f>+Q100-R100</f>
        <v>57893</v>
      </c>
      <c r="T100" s="115"/>
      <c r="U100" s="26">
        <v>43273</v>
      </c>
      <c r="V100" s="26">
        <v>43273</v>
      </c>
      <c r="W100" s="25">
        <v>43285</v>
      </c>
      <c r="X100" s="25"/>
      <c r="Y100" s="37"/>
      <c r="Z100" s="37"/>
      <c r="AA100" s="37"/>
      <c r="AB100" s="15" t="s">
        <v>51</v>
      </c>
      <c r="AC100" s="26">
        <v>43371</v>
      </c>
      <c r="AD100" s="26" t="s">
        <v>52</v>
      </c>
      <c r="AE100" s="26" t="s">
        <v>53</v>
      </c>
      <c r="AF100" s="110"/>
      <c r="AG100" s="29" t="s">
        <v>538</v>
      </c>
      <c r="AH100" s="29" t="s">
        <v>653</v>
      </c>
      <c r="AI100" s="120"/>
      <c r="AJ100" s="28">
        <v>74244103</v>
      </c>
      <c r="AK100" s="29" t="s">
        <v>126</v>
      </c>
      <c r="AL100" s="29">
        <v>43278</v>
      </c>
      <c r="AM100" s="31" t="s">
        <v>95</v>
      </c>
      <c r="AN100" s="32" t="s">
        <v>742</v>
      </c>
      <c r="AO100" s="57" t="s">
        <v>352</v>
      </c>
      <c r="AP100" s="107">
        <v>0.65</v>
      </c>
      <c r="AQ100" s="108">
        <f>3000000+15000000+1500000</f>
        <v>19500000</v>
      </c>
      <c r="AR100" s="32" t="s">
        <v>743</v>
      </c>
      <c r="AS100" s="59"/>
      <c r="AT100" s="31" t="s">
        <v>744</v>
      </c>
    </row>
    <row r="101" spans="1:46" ht="67.5" x14ac:dyDescent="0.25">
      <c r="A101" s="14" t="s">
        <v>745</v>
      </c>
      <c r="B101" s="15" t="s">
        <v>176</v>
      </c>
      <c r="C101" s="15" t="s">
        <v>746</v>
      </c>
      <c r="D101" s="14" t="s">
        <v>483</v>
      </c>
      <c r="E101" s="15" t="s">
        <v>280</v>
      </c>
      <c r="F101" s="16" t="s">
        <v>747</v>
      </c>
      <c r="G101" s="17"/>
      <c r="H101" s="17"/>
      <c r="I101" s="18" t="s">
        <v>748</v>
      </c>
      <c r="J101" s="104"/>
      <c r="K101" s="15"/>
      <c r="L101" s="26"/>
      <c r="M101" s="55">
        <v>40000000</v>
      </c>
      <c r="N101" s="109"/>
      <c r="O101" s="109"/>
      <c r="P101" s="21"/>
      <c r="Q101" s="21">
        <f t="shared" si="5"/>
        <v>40000000</v>
      </c>
      <c r="R101" s="22"/>
      <c r="S101" s="23">
        <f t="shared" si="6"/>
        <v>40000000</v>
      </c>
      <c r="T101" s="115"/>
      <c r="U101" s="26">
        <v>43273</v>
      </c>
      <c r="V101" s="26"/>
      <c r="W101" s="25">
        <v>43303</v>
      </c>
      <c r="X101" s="25"/>
      <c r="Y101" s="25"/>
      <c r="Z101" s="25"/>
      <c r="AA101" s="25"/>
      <c r="AB101" s="15" t="s">
        <v>51</v>
      </c>
      <c r="AC101" s="25">
        <v>43462</v>
      </c>
      <c r="AD101" s="26"/>
      <c r="AE101" s="26" t="s">
        <v>749</v>
      </c>
      <c r="AF101" s="105"/>
      <c r="AG101" s="29" t="s">
        <v>633</v>
      </c>
      <c r="AH101" s="29"/>
      <c r="AI101" s="29"/>
      <c r="AJ101" s="28"/>
      <c r="AK101" s="29" t="s">
        <v>126</v>
      </c>
      <c r="AL101" s="29"/>
      <c r="AM101" s="31"/>
      <c r="AN101" s="32"/>
      <c r="AO101" s="27"/>
      <c r="AP101" s="33"/>
      <c r="AQ101" s="34"/>
      <c r="AR101" s="32" t="s">
        <v>750</v>
      </c>
      <c r="AS101" s="59" t="s">
        <v>751</v>
      </c>
      <c r="AT101" s="31"/>
    </row>
    <row r="102" spans="1:46" ht="22.5" x14ac:dyDescent="0.25">
      <c r="A102" s="14" t="s">
        <v>752</v>
      </c>
      <c r="B102" s="15" t="s">
        <v>176</v>
      </c>
      <c r="C102" s="15" t="s">
        <v>753</v>
      </c>
      <c r="D102" s="15" t="s">
        <v>196</v>
      </c>
      <c r="E102" s="15" t="s">
        <v>120</v>
      </c>
      <c r="F102" s="16" t="s">
        <v>754</v>
      </c>
      <c r="G102" s="17">
        <v>901049157</v>
      </c>
      <c r="H102" s="17">
        <v>8</v>
      </c>
      <c r="I102" s="18" t="s">
        <v>755</v>
      </c>
      <c r="J102" s="104"/>
      <c r="K102" s="15"/>
      <c r="L102" s="26"/>
      <c r="M102" s="55">
        <v>1927800</v>
      </c>
      <c r="N102" s="109"/>
      <c r="O102" s="109"/>
      <c r="P102" s="48">
        <v>0</v>
      </c>
      <c r="Q102" s="21">
        <f t="shared" si="5"/>
        <v>1927800</v>
      </c>
      <c r="R102" s="22">
        <v>963900</v>
      </c>
      <c r="S102" s="23">
        <f t="shared" si="6"/>
        <v>963900</v>
      </c>
      <c r="T102" s="115"/>
      <c r="U102" s="26">
        <v>43277</v>
      </c>
      <c r="V102" s="26"/>
      <c r="W102" s="25">
        <v>43449</v>
      </c>
      <c r="X102" s="25"/>
      <c r="Y102" s="25"/>
      <c r="Z102" s="25"/>
      <c r="AA102" s="25"/>
      <c r="AB102" s="15" t="s">
        <v>51</v>
      </c>
      <c r="AC102" s="26">
        <v>43563</v>
      </c>
      <c r="AD102" s="26"/>
      <c r="AE102" s="26" t="s">
        <v>691</v>
      </c>
      <c r="AF102" s="110"/>
      <c r="AG102" s="29" t="s">
        <v>137</v>
      </c>
      <c r="AH102" s="29" t="s">
        <v>384</v>
      </c>
      <c r="AI102" s="135">
        <v>43279</v>
      </c>
      <c r="AJ102" s="28">
        <v>53114465</v>
      </c>
      <c r="AK102" s="29" t="s">
        <v>126</v>
      </c>
      <c r="AL102" s="29">
        <v>43279</v>
      </c>
      <c r="AM102" s="31" t="s">
        <v>127</v>
      </c>
      <c r="AN102" s="32" t="s">
        <v>756</v>
      </c>
      <c r="AO102" s="27" t="s">
        <v>757</v>
      </c>
      <c r="AP102" s="33">
        <v>0.75</v>
      </c>
      <c r="AQ102" s="108">
        <v>1253070</v>
      </c>
      <c r="AR102" s="32" t="s">
        <v>758</v>
      </c>
      <c r="AS102" s="59"/>
      <c r="AT102" s="31" t="s">
        <v>417</v>
      </c>
    </row>
    <row r="103" spans="1:46" ht="22.5" x14ac:dyDescent="0.25">
      <c r="A103" s="14" t="s">
        <v>759</v>
      </c>
      <c r="B103" s="15" t="s">
        <v>176</v>
      </c>
      <c r="C103" s="15" t="s">
        <v>760</v>
      </c>
      <c r="D103" s="15" t="s">
        <v>102</v>
      </c>
      <c r="E103" s="15" t="s">
        <v>280</v>
      </c>
      <c r="F103" s="16" t="s">
        <v>761</v>
      </c>
      <c r="G103" s="17">
        <v>830090131</v>
      </c>
      <c r="H103" s="17">
        <v>2</v>
      </c>
      <c r="I103" s="18" t="s">
        <v>762</v>
      </c>
      <c r="J103" s="104" t="s">
        <v>480</v>
      </c>
      <c r="K103" s="104" t="s">
        <v>480</v>
      </c>
      <c r="L103" s="104" t="s">
        <v>480</v>
      </c>
      <c r="M103" s="22">
        <v>20753600</v>
      </c>
      <c r="N103" s="50">
        <v>109718</v>
      </c>
      <c r="O103" s="50"/>
      <c r="P103" s="51">
        <v>0</v>
      </c>
      <c r="Q103" s="21">
        <f t="shared" si="5"/>
        <v>20753600</v>
      </c>
      <c r="R103" s="50">
        <v>0</v>
      </c>
      <c r="S103" s="23">
        <f t="shared" si="6"/>
        <v>20753600</v>
      </c>
      <c r="T103" s="115" t="s">
        <v>480</v>
      </c>
      <c r="U103" s="26">
        <v>43277</v>
      </c>
      <c r="V103" s="26">
        <v>43312</v>
      </c>
      <c r="W103" s="25">
        <v>43434</v>
      </c>
      <c r="X103" s="25"/>
      <c r="Y103" s="25">
        <v>43554</v>
      </c>
      <c r="Z103" s="25" t="s">
        <v>480</v>
      </c>
      <c r="AA103" s="25"/>
      <c r="AB103" s="15" t="s">
        <v>302</v>
      </c>
      <c r="AC103" s="26">
        <v>43615</v>
      </c>
      <c r="AD103" s="26"/>
      <c r="AE103" s="26"/>
      <c r="AF103" s="60"/>
      <c r="AG103" s="29" t="s">
        <v>335</v>
      </c>
      <c r="AH103" s="29" t="s">
        <v>763</v>
      </c>
      <c r="AI103" s="29">
        <v>43279</v>
      </c>
      <c r="AJ103" s="28">
        <v>52534923</v>
      </c>
      <c r="AK103" s="29" t="s">
        <v>126</v>
      </c>
      <c r="AL103" s="29">
        <v>43294</v>
      </c>
      <c r="AM103" s="27" t="s">
        <v>372</v>
      </c>
      <c r="AN103" s="70" t="s">
        <v>764</v>
      </c>
      <c r="AO103" s="27" t="s">
        <v>305</v>
      </c>
      <c r="AP103" s="107" t="s">
        <v>765</v>
      </c>
      <c r="AQ103" s="80" t="s">
        <v>766</v>
      </c>
      <c r="AR103" s="70">
        <v>5100002847</v>
      </c>
      <c r="AS103" s="59" t="s">
        <v>480</v>
      </c>
      <c r="AT103" s="116">
        <v>20186030205833</v>
      </c>
    </row>
    <row r="104" spans="1:46" ht="22.5" x14ac:dyDescent="0.25">
      <c r="A104" s="14" t="s">
        <v>767</v>
      </c>
      <c r="B104" s="15" t="s">
        <v>288</v>
      </c>
      <c r="C104" s="15" t="s">
        <v>768</v>
      </c>
      <c r="D104" s="14" t="s">
        <v>318</v>
      </c>
      <c r="E104" s="15" t="s">
        <v>85</v>
      </c>
      <c r="F104" s="16" t="s">
        <v>769</v>
      </c>
      <c r="G104" s="17">
        <v>830505521</v>
      </c>
      <c r="H104" s="17">
        <v>5</v>
      </c>
      <c r="I104" s="49" t="s">
        <v>770</v>
      </c>
      <c r="J104" s="104"/>
      <c r="K104" s="15"/>
      <c r="L104" s="26"/>
      <c r="M104" s="22">
        <v>258046983</v>
      </c>
      <c r="N104" s="51">
        <v>115718</v>
      </c>
      <c r="O104" s="51"/>
      <c r="P104" s="51">
        <v>0</v>
      </c>
      <c r="Q104" s="21">
        <f t="shared" si="5"/>
        <v>258046983</v>
      </c>
      <c r="R104" s="21">
        <v>258046983</v>
      </c>
      <c r="S104" s="23">
        <f>Q104-R104</f>
        <v>0</v>
      </c>
      <c r="T104" s="115">
        <v>0</v>
      </c>
      <c r="U104" s="26">
        <v>43285</v>
      </c>
      <c r="V104" s="26">
        <v>43292</v>
      </c>
      <c r="W104" s="25">
        <v>43434</v>
      </c>
      <c r="X104" s="104">
        <f>DAYS360(V104,W104)</f>
        <v>139</v>
      </c>
      <c r="Y104" s="25">
        <f>W104+120</f>
        <v>43554</v>
      </c>
      <c r="Z104" s="25" t="s">
        <v>480</v>
      </c>
      <c r="AA104" s="25"/>
      <c r="AB104" s="15" t="s">
        <v>51</v>
      </c>
      <c r="AC104" s="26">
        <v>43559</v>
      </c>
      <c r="AD104" s="26" t="s">
        <v>164</v>
      </c>
      <c r="AE104" s="26" t="s">
        <v>771</v>
      </c>
      <c r="AF104" s="110"/>
      <c r="AG104" s="29" t="s">
        <v>137</v>
      </c>
      <c r="AH104" s="29" t="s">
        <v>772</v>
      </c>
      <c r="AI104" s="29">
        <v>43292</v>
      </c>
      <c r="AJ104" s="28">
        <v>79056062</v>
      </c>
      <c r="AK104" s="29" t="s">
        <v>385</v>
      </c>
      <c r="AL104" s="29">
        <v>43287</v>
      </c>
      <c r="AM104" s="27" t="s">
        <v>323</v>
      </c>
      <c r="AN104" s="70" t="s">
        <v>773</v>
      </c>
      <c r="AO104" s="27" t="s">
        <v>774</v>
      </c>
      <c r="AP104" s="33">
        <v>0.85</v>
      </c>
      <c r="AQ104" s="80">
        <f>219339935+156248400</f>
        <v>375588335</v>
      </c>
      <c r="AR104" s="32" t="s">
        <v>775</v>
      </c>
      <c r="AS104" s="59" t="s">
        <v>389</v>
      </c>
      <c r="AT104" s="27" t="s">
        <v>776</v>
      </c>
    </row>
    <row r="105" spans="1:46" ht="33.75" x14ac:dyDescent="0.25">
      <c r="A105" s="14" t="s">
        <v>777</v>
      </c>
      <c r="B105" s="15" t="s">
        <v>176</v>
      </c>
      <c r="C105" s="15" t="s">
        <v>778</v>
      </c>
      <c r="D105" s="15" t="s">
        <v>102</v>
      </c>
      <c r="E105" s="15" t="s">
        <v>628</v>
      </c>
      <c r="F105" s="16" t="s">
        <v>779</v>
      </c>
      <c r="G105" s="17">
        <v>800149403</v>
      </c>
      <c r="H105" s="17">
        <v>8</v>
      </c>
      <c r="I105" s="18" t="s">
        <v>780</v>
      </c>
      <c r="J105" s="104" t="s">
        <v>480</v>
      </c>
      <c r="K105" s="104" t="s">
        <v>480</v>
      </c>
      <c r="L105" s="104" t="s">
        <v>480</v>
      </c>
      <c r="M105" s="22">
        <v>2140000</v>
      </c>
      <c r="N105" s="50">
        <v>11518</v>
      </c>
      <c r="O105" s="50"/>
      <c r="P105" s="51">
        <v>0</v>
      </c>
      <c r="Q105" s="21">
        <f t="shared" si="5"/>
        <v>2140000</v>
      </c>
      <c r="R105" s="136">
        <v>1070000</v>
      </c>
      <c r="S105" s="23">
        <f t="shared" ref="S105:S172" si="7">Q105-R105</f>
        <v>1070000</v>
      </c>
      <c r="T105" s="115" t="s">
        <v>480</v>
      </c>
      <c r="U105" s="26">
        <v>43290</v>
      </c>
      <c r="V105" s="26">
        <v>43286</v>
      </c>
      <c r="W105" s="25">
        <v>43434</v>
      </c>
      <c r="X105" s="104">
        <f t="shared" ref="X105:X135" si="8">DAYS360(V105,W105)</f>
        <v>145</v>
      </c>
      <c r="Y105" s="25">
        <f t="shared" ref="Y105:Y111" si="9">+W105+120</f>
        <v>43554</v>
      </c>
      <c r="Z105" s="25" t="s">
        <v>480</v>
      </c>
      <c r="AA105" s="25"/>
      <c r="AB105" s="15" t="s">
        <v>51</v>
      </c>
      <c r="AC105" s="26">
        <v>43578</v>
      </c>
      <c r="AD105" s="26"/>
      <c r="AE105" s="26" t="s">
        <v>691</v>
      </c>
      <c r="AF105" s="60"/>
      <c r="AG105" s="29" t="s">
        <v>335</v>
      </c>
      <c r="AH105" s="29" t="s">
        <v>384</v>
      </c>
      <c r="AI105" s="29">
        <v>43662</v>
      </c>
      <c r="AJ105" s="28">
        <v>53114465</v>
      </c>
      <c r="AK105" s="29" t="s">
        <v>126</v>
      </c>
      <c r="AL105" s="29">
        <v>43293</v>
      </c>
      <c r="AM105" s="27" t="s">
        <v>95</v>
      </c>
      <c r="AN105" s="70" t="s">
        <v>781</v>
      </c>
      <c r="AO105" s="27" t="s">
        <v>305</v>
      </c>
      <c r="AP105" s="107" t="s">
        <v>782</v>
      </c>
      <c r="AQ105" s="80" t="s">
        <v>783</v>
      </c>
      <c r="AR105" s="70" t="s">
        <v>784</v>
      </c>
      <c r="AS105" s="59" t="s">
        <v>480</v>
      </c>
      <c r="AT105" s="116">
        <v>20186030210163</v>
      </c>
    </row>
    <row r="106" spans="1:46" ht="33.75" x14ac:dyDescent="0.25">
      <c r="A106" s="14" t="s">
        <v>785</v>
      </c>
      <c r="B106" s="15" t="s">
        <v>176</v>
      </c>
      <c r="C106" s="15" t="s">
        <v>786</v>
      </c>
      <c r="D106" s="15" t="s">
        <v>102</v>
      </c>
      <c r="E106" s="15" t="s">
        <v>628</v>
      </c>
      <c r="F106" s="16" t="s">
        <v>197</v>
      </c>
      <c r="G106" s="17">
        <v>900353140</v>
      </c>
      <c r="H106" s="17">
        <v>2</v>
      </c>
      <c r="I106" s="18" t="s">
        <v>787</v>
      </c>
      <c r="J106" s="104" t="s">
        <v>480</v>
      </c>
      <c r="K106" s="104" t="s">
        <v>480</v>
      </c>
      <c r="L106" s="104" t="s">
        <v>480</v>
      </c>
      <c r="M106" s="22">
        <v>7695000</v>
      </c>
      <c r="N106" s="50">
        <v>117418</v>
      </c>
      <c r="O106" s="50"/>
      <c r="P106" s="51">
        <v>0</v>
      </c>
      <c r="Q106" s="21">
        <f t="shared" si="5"/>
        <v>7695000</v>
      </c>
      <c r="R106" s="136">
        <v>0</v>
      </c>
      <c r="S106" s="23">
        <f t="shared" si="7"/>
        <v>7695000</v>
      </c>
      <c r="T106" s="115" t="s">
        <v>480</v>
      </c>
      <c r="U106" s="26">
        <v>43292</v>
      </c>
      <c r="V106" s="26">
        <v>43312</v>
      </c>
      <c r="W106" s="25">
        <v>43434</v>
      </c>
      <c r="X106" s="104">
        <f t="shared" si="8"/>
        <v>120</v>
      </c>
      <c r="Y106" s="25">
        <f t="shared" si="9"/>
        <v>43554</v>
      </c>
      <c r="Z106" s="25" t="s">
        <v>480</v>
      </c>
      <c r="AA106" s="25"/>
      <c r="AB106" s="15" t="s">
        <v>51</v>
      </c>
      <c r="AC106" s="26">
        <v>43544</v>
      </c>
      <c r="AD106" s="26" t="s">
        <v>52</v>
      </c>
      <c r="AE106" s="26" t="s">
        <v>691</v>
      </c>
      <c r="AF106" s="60"/>
      <c r="AG106" s="29" t="s">
        <v>335</v>
      </c>
      <c r="AH106" s="29" t="s">
        <v>515</v>
      </c>
      <c r="AI106" s="29">
        <v>43300</v>
      </c>
      <c r="AJ106" s="28">
        <v>52453006</v>
      </c>
      <c r="AK106" s="29" t="s">
        <v>126</v>
      </c>
      <c r="AL106" s="29">
        <v>43300</v>
      </c>
      <c r="AM106" s="27" t="s">
        <v>95</v>
      </c>
      <c r="AN106" s="70" t="s">
        <v>788</v>
      </c>
      <c r="AO106" s="27" t="s">
        <v>305</v>
      </c>
      <c r="AP106" s="107" t="s">
        <v>765</v>
      </c>
      <c r="AQ106" s="80" t="s">
        <v>789</v>
      </c>
      <c r="AR106" s="70" t="s">
        <v>790</v>
      </c>
      <c r="AS106" s="59" t="s">
        <v>480</v>
      </c>
      <c r="AT106" s="116" t="s">
        <v>791</v>
      </c>
    </row>
    <row r="107" spans="1:46" ht="22.5" x14ac:dyDescent="0.25">
      <c r="A107" s="14" t="s">
        <v>792</v>
      </c>
      <c r="B107" s="15" t="s">
        <v>288</v>
      </c>
      <c r="C107" s="15" t="s">
        <v>793</v>
      </c>
      <c r="D107" s="14" t="s">
        <v>502</v>
      </c>
      <c r="E107" s="15" t="s">
        <v>794</v>
      </c>
      <c r="F107" s="16" t="s">
        <v>795</v>
      </c>
      <c r="G107" s="17">
        <v>860047657</v>
      </c>
      <c r="H107" s="17">
        <v>1</v>
      </c>
      <c r="I107" s="49" t="s">
        <v>796</v>
      </c>
      <c r="J107" s="104"/>
      <c r="K107" s="15"/>
      <c r="L107" s="26"/>
      <c r="M107" s="22">
        <v>603500001</v>
      </c>
      <c r="N107" s="50">
        <v>117918</v>
      </c>
      <c r="O107" s="50"/>
      <c r="P107" s="51">
        <v>0</v>
      </c>
      <c r="Q107" s="21">
        <f t="shared" si="5"/>
        <v>603500001</v>
      </c>
      <c r="R107" s="136">
        <v>603500001</v>
      </c>
      <c r="S107" s="23">
        <f t="shared" si="7"/>
        <v>0</v>
      </c>
      <c r="T107" s="115">
        <v>0</v>
      </c>
      <c r="U107" s="26">
        <v>43293</v>
      </c>
      <c r="V107" s="26">
        <v>43294</v>
      </c>
      <c r="W107" s="25">
        <v>43416</v>
      </c>
      <c r="X107" s="104">
        <f>DAYS360(V107,W107)</f>
        <v>119</v>
      </c>
      <c r="Y107" s="25">
        <f>W107+120</f>
        <v>43536</v>
      </c>
      <c r="Z107" s="25"/>
      <c r="AA107" s="25"/>
      <c r="AB107" s="15" t="s">
        <v>51</v>
      </c>
      <c r="AC107" s="26">
        <v>43528</v>
      </c>
      <c r="AD107" s="26"/>
      <c r="AE107" s="26" t="s">
        <v>691</v>
      </c>
      <c r="AF107" s="110"/>
      <c r="AG107" s="29" t="s">
        <v>797</v>
      </c>
      <c r="AH107" s="29" t="s">
        <v>384</v>
      </c>
      <c r="AI107" s="29">
        <v>43300</v>
      </c>
      <c r="AJ107" s="28">
        <v>53114465</v>
      </c>
      <c r="AK107" s="29" t="s">
        <v>322</v>
      </c>
      <c r="AL107" s="29">
        <v>43300</v>
      </c>
      <c r="AM107" s="27" t="s">
        <v>323</v>
      </c>
      <c r="AN107" s="32" t="s">
        <v>798</v>
      </c>
      <c r="AO107" s="27" t="s">
        <v>799</v>
      </c>
      <c r="AP107" s="33">
        <v>0.75</v>
      </c>
      <c r="AQ107" s="80">
        <f>452625000</f>
        <v>452625000</v>
      </c>
      <c r="AR107" s="32" t="s">
        <v>800</v>
      </c>
      <c r="AS107" s="59" t="s">
        <v>801</v>
      </c>
      <c r="AT107" s="27" t="s">
        <v>802</v>
      </c>
    </row>
    <row r="108" spans="1:46" ht="22.5" x14ac:dyDescent="0.25">
      <c r="A108" s="14" t="s">
        <v>803</v>
      </c>
      <c r="B108" s="15" t="s">
        <v>45</v>
      </c>
      <c r="C108" s="15" t="s">
        <v>804</v>
      </c>
      <c r="D108" s="15" t="s">
        <v>196</v>
      </c>
      <c r="E108" s="15" t="s">
        <v>794</v>
      </c>
      <c r="F108" s="16" t="s">
        <v>805</v>
      </c>
      <c r="G108" s="17">
        <v>860509265</v>
      </c>
      <c r="H108" s="17">
        <v>1</v>
      </c>
      <c r="I108" s="49" t="s">
        <v>806</v>
      </c>
      <c r="J108" s="104"/>
      <c r="K108" s="15"/>
      <c r="L108" s="26"/>
      <c r="M108" s="22">
        <v>17850000</v>
      </c>
      <c r="N108" s="104">
        <v>35518</v>
      </c>
      <c r="O108" s="104"/>
      <c r="P108" s="23">
        <v>0</v>
      </c>
      <c r="Q108" s="21">
        <f t="shared" si="5"/>
        <v>17850000</v>
      </c>
      <c r="R108" s="136">
        <v>17850000</v>
      </c>
      <c r="S108" s="23">
        <f t="shared" si="7"/>
        <v>0</v>
      </c>
      <c r="T108" s="115">
        <v>0</v>
      </c>
      <c r="U108" s="26">
        <v>43294</v>
      </c>
      <c r="V108" s="26">
        <v>43294</v>
      </c>
      <c r="W108" s="38">
        <v>43311</v>
      </c>
      <c r="X108" s="104">
        <f t="shared" si="8"/>
        <v>17</v>
      </c>
      <c r="Y108" s="25">
        <f t="shared" si="9"/>
        <v>43431</v>
      </c>
      <c r="Z108" s="25" t="s">
        <v>480</v>
      </c>
      <c r="AA108" s="25"/>
      <c r="AB108" s="15" t="s">
        <v>51</v>
      </c>
      <c r="AC108" s="26">
        <v>43362</v>
      </c>
      <c r="AD108" s="26" t="s">
        <v>52</v>
      </c>
      <c r="AE108" s="26" t="s">
        <v>53</v>
      </c>
      <c r="AF108" s="110"/>
      <c r="AG108" s="29" t="s">
        <v>156</v>
      </c>
      <c r="AH108" s="29" t="s">
        <v>807</v>
      </c>
      <c r="AI108" s="29">
        <v>43297</v>
      </c>
      <c r="AJ108" s="28">
        <v>79963535</v>
      </c>
      <c r="AK108" s="29" t="s">
        <v>322</v>
      </c>
      <c r="AL108" s="29">
        <v>43294</v>
      </c>
      <c r="AM108" s="27" t="s">
        <v>717</v>
      </c>
      <c r="AN108" s="31" t="s">
        <v>808</v>
      </c>
      <c r="AO108" s="27" t="s">
        <v>374</v>
      </c>
      <c r="AP108" s="137">
        <v>0.75</v>
      </c>
      <c r="AQ108" s="80">
        <v>13387500</v>
      </c>
      <c r="AR108" s="32" t="s">
        <v>809</v>
      </c>
      <c r="AS108" s="59" t="s">
        <v>810</v>
      </c>
      <c r="AT108" s="27" t="s">
        <v>811</v>
      </c>
    </row>
    <row r="109" spans="1:46" ht="33.75" x14ac:dyDescent="0.25">
      <c r="A109" s="14" t="s">
        <v>812</v>
      </c>
      <c r="B109" s="15" t="s">
        <v>176</v>
      </c>
      <c r="C109" s="15" t="s">
        <v>813</v>
      </c>
      <c r="D109" s="14" t="s">
        <v>574</v>
      </c>
      <c r="E109" s="15" t="s">
        <v>628</v>
      </c>
      <c r="F109" s="16" t="s">
        <v>814</v>
      </c>
      <c r="G109" s="17">
        <v>900935583</v>
      </c>
      <c r="H109" s="17">
        <v>1</v>
      </c>
      <c r="I109" s="18" t="s">
        <v>815</v>
      </c>
      <c r="J109" s="104" t="s">
        <v>480</v>
      </c>
      <c r="K109" s="104" t="s">
        <v>480</v>
      </c>
      <c r="L109" s="104" t="s">
        <v>480</v>
      </c>
      <c r="M109" s="22">
        <v>6219140</v>
      </c>
      <c r="N109" s="104">
        <v>124418</v>
      </c>
      <c r="O109" s="104"/>
      <c r="P109" s="23">
        <v>0</v>
      </c>
      <c r="Q109" s="21">
        <f t="shared" si="5"/>
        <v>6219140</v>
      </c>
      <c r="R109" s="22">
        <v>6219140</v>
      </c>
      <c r="S109" s="23">
        <f t="shared" si="7"/>
        <v>0</v>
      </c>
      <c r="T109" s="115" t="s">
        <v>480</v>
      </c>
      <c r="U109" s="26">
        <v>43299</v>
      </c>
      <c r="V109" s="26">
        <v>43308</v>
      </c>
      <c r="W109" s="25">
        <v>43357</v>
      </c>
      <c r="X109" s="104">
        <f t="shared" si="8"/>
        <v>47</v>
      </c>
      <c r="Y109" s="25">
        <f t="shared" si="9"/>
        <v>43477</v>
      </c>
      <c r="Z109" s="25" t="s">
        <v>480</v>
      </c>
      <c r="AA109" s="25"/>
      <c r="AB109" s="15" t="s">
        <v>51</v>
      </c>
      <c r="AC109" s="26">
        <v>43420</v>
      </c>
      <c r="AD109" s="26" t="s">
        <v>52</v>
      </c>
      <c r="AE109" s="26" t="s">
        <v>53</v>
      </c>
      <c r="AF109" s="60"/>
      <c r="AG109" s="29" t="s">
        <v>538</v>
      </c>
      <c r="AH109" s="29" t="s">
        <v>816</v>
      </c>
      <c r="AI109" s="29">
        <v>43304</v>
      </c>
      <c r="AJ109" s="28">
        <v>80493783</v>
      </c>
      <c r="AK109" s="29" t="s">
        <v>126</v>
      </c>
      <c r="AL109" s="29">
        <v>43304</v>
      </c>
      <c r="AM109" s="27" t="s">
        <v>95</v>
      </c>
      <c r="AN109" s="70" t="s">
        <v>817</v>
      </c>
      <c r="AO109" s="27" t="s">
        <v>352</v>
      </c>
      <c r="AP109" s="107" t="s">
        <v>818</v>
      </c>
      <c r="AQ109" s="34" t="s">
        <v>819</v>
      </c>
      <c r="AR109" s="70" t="s">
        <v>809</v>
      </c>
      <c r="AS109" s="59" t="s">
        <v>480</v>
      </c>
      <c r="AT109" s="116">
        <v>20186030216043</v>
      </c>
    </row>
    <row r="110" spans="1:46" ht="22.5" x14ac:dyDescent="0.25">
      <c r="A110" s="14" t="s">
        <v>820</v>
      </c>
      <c r="B110" s="15" t="s">
        <v>399</v>
      </c>
      <c r="C110" s="15" t="s">
        <v>821</v>
      </c>
      <c r="D110" s="14" t="s">
        <v>502</v>
      </c>
      <c r="E110" s="15" t="s">
        <v>794</v>
      </c>
      <c r="F110" s="16" t="s">
        <v>822</v>
      </c>
      <c r="G110" s="17" t="s">
        <v>823</v>
      </c>
      <c r="H110" s="17">
        <v>2</v>
      </c>
      <c r="I110" s="49" t="s">
        <v>824</v>
      </c>
      <c r="J110" s="104" t="s">
        <v>825</v>
      </c>
      <c r="K110" s="15" t="s">
        <v>124</v>
      </c>
      <c r="L110" s="26">
        <v>43373</v>
      </c>
      <c r="M110" s="22">
        <v>196165600</v>
      </c>
      <c r="N110" s="50">
        <v>126718</v>
      </c>
      <c r="O110" s="50"/>
      <c r="P110" s="51">
        <v>0</v>
      </c>
      <c r="Q110" s="21">
        <f t="shared" si="5"/>
        <v>196165600</v>
      </c>
      <c r="R110" s="21">
        <f t="shared" si="5"/>
        <v>196292318</v>
      </c>
      <c r="S110" s="23"/>
      <c r="T110" s="115">
        <v>0</v>
      </c>
      <c r="U110" s="26">
        <v>43305</v>
      </c>
      <c r="V110" s="26">
        <v>43306</v>
      </c>
      <c r="W110" s="25">
        <v>43428</v>
      </c>
      <c r="X110" s="104">
        <f t="shared" si="8"/>
        <v>119</v>
      </c>
      <c r="Y110" s="25">
        <f>W110+120</f>
        <v>43548</v>
      </c>
      <c r="Z110" s="25" t="s">
        <v>480</v>
      </c>
      <c r="AA110" s="25"/>
      <c r="AB110" s="15" t="s">
        <v>51</v>
      </c>
      <c r="AC110" s="26">
        <v>43649</v>
      </c>
      <c r="AD110" s="26"/>
      <c r="AE110" s="26" t="s">
        <v>53</v>
      </c>
      <c r="AF110" s="110"/>
      <c r="AG110" s="29" t="s">
        <v>137</v>
      </c>
      <c r="AH110" s="29" t="s">
        <v>653</v>
      </c>
      <c r="AI110" s="29">
        <v>43306</v>
      </c>
      <c r="AJ110" s="28">
        <v>74244103</v>
      </c>
      <c r="AK110" s="29" t="s">
        <v>322</v>
      </c>
      <c r="AL110" s="29">
        <v>43306</v>
      </c>
      <c r="AM110" s="27" t="s">
        <v>522</v>
      </c>
      <c r="AN110" s="70" t="s">
        <v>826</v>
      </c>
      <c r="AO110" s="27" t="s">
        <v>827</v>
      </c>
      <c r="AP110" s="33">
        <v>1</v>
      </c>
      <c r="AQ110" s="80">
        <f>98082800+9808280+8874520+156248400</f>
        <v>273014000</v>
      </c>
      <c r="AR110" s="32" t="s">
        <v>828</v>
      </c>
      <c r="AS110" s="59" t="s">
        <v>829</v>
      </c>
      <c r="AT110" s="27" t="s">
        <v>830</v>
      </c>
    </row>
    <row r="111" spans="1:46" ht="33.75" x14ac:dyDescent="0.25">
      <c r="A111" s="14" t="s">
        <v>831</v>
      </c>
      <c r="B111" s="15" t="s">
        <v>176</v>
      </c>
      <c r="C111" s="15" t="s">
        <v>832</v>
      </c>
      <c r="D111" s="14" t="s">
        <v>102</v>
      </c>
      <c r="E111" s="15" t="s">
        <v>280</v>
      </c>
      <c r="F111" s="16" t="s">
        <v>833</v>
      </c>
      <c r="G111" s="17">
        <v>901038018</v>
      </c>
      <c r="H111" s="17">
        <v>5</v>
      </c>
      <c r="I111" s="18" t="s">
        <v>834</v>
      </c>
      <c r="J111" s="104" t="s">
        <v>480</v>
      </c>
      <c r="K111" s="104" t="s">
        <v>480</v>
      </c>
      <c r="L111" s="104" t="s">
        <v>480</v>
      </c>
      <c r="M111" s="22">
        <v>8470420</v>
      </c>
      <c r="N111" s="50">
        <v>10118</v>
      </c>
      <c r="O111" s="50"/>
      <c r="P111" s="51">
        <v>0</v>
      </c>
      <c r="Q111" s="21">
        <f t="shared" si="5"/>
        <v>8470420</v>
      </c>
      <c r="R111" s="50">
        <v>0</v>
      </c>
      <c r="S111" s="23">
        <f t="shared" si="7"/>
        <v>8470420</v>
      </c>
      <c r="T111" s="115" t="s">
        <v>480</v>
      </c>
      <c r="U111" s="26">
        <v>43305</v>
      </c>
      <c r="V111" s="26">
        <v>43340</v>
      </c>
      <c r="W111" s="25">
        <v>43434</v>
      </c>
      <c r="X111" s="104">
        <f t="shared" si="8"/>
        <v>92</v>
      </c>
      <c r="Y111" s="25">
        <f t="shared" si="9"/>
        <v>43554</v>
      </c>
      <c r="Z111" s="25" t="s">
        <v>480</v>
      </c>
      <c r="AA111" s="25"/>
      <c r="AB111" s="15" t="s">
        <v>51</v>
      </c>
      <c r="AC111" s="26">
        <v>43559</v>
      </c>
      <c r="AD111" s="26" t="s">
        <v>52</v>
      </c>
      <c r="AE111" s="26" t="s">
        <v>53</v>
      </c>
      <c r="AF111" s="60"/>
      <c r="AG111" s="29" t="s">
        <v>538</v>
      </c>
      <c r="AH111" s="29" t="s">
        <v>549</v>
      </c>
      <c r="AI111" s="29">
        <v>43315</v>
      </c>
      <c r="AJ111" s="28">
        <v>1016033421</v>
      </c>
      <c r="AK111" s="29" t="s">
        <v>126</v>
      </c>
      <c r="AL111" s="29">
        <v>43318</v>
      </c>
      <c r="AM111" s="27" t="s">
        <v>95</v>
      </c>
      <c r="AN111" s="70" t="s">
        <v>835</v>
      </c>
      <c r="AO111" s="27" t="s">
        <v>305</v>
      </c>
      <c r="AP111" s="107" t="s">
        <v>765</v>
      </c>
      <c r="AQ111" s="34" t="s">
        <v>836</v>
      </c>
      <c r="AR111" s="70">
        <v>5100002761</v>
      </c>
      <c r="AS111" s="59" t="s">
        <v>639</v>
      </c>
      <c r="AT111" s="116">
        <v>20186030220163</v>
      </c>
    </row>
    <row r="112" spans="1:46" ht="22.5" x14ac:dyDescent="0.25">
      <c r="A112" s="14" t="s">
        <v>837</v>
      </c>
      <c r="B112" s="15" t="s">
        <v>399</v>
      </c>
      <c r="C112" s="15" t="s">
        <v>838</v>
      </c>
      <c r="D112" s="14" t="s">
        <v>266</v>
      </c>
      <c r="E112" s="15" t="s">
        <v>120</v>
      </c>
      <c r="F112" s="16" t="s">
        <v>839</v>
      </c>
      <c r="G112" s="17">
        <v>900075225</v>
      </c>
      <c r="H112" s="17">
        <v>7</v>
      </c>
      <c r="I112" s="18" t="s">
        <v>840</v>
      </c>
      <c r="J112" s="104" t="s">
        <v>349</v>
      </c>
      <c r="K112" s="15"/>
      <c r="L112" s="26"/>
      <c r="M112" s="55">
        <v>5848992</v>
      </c>
      <c r="N112" s="50">
        <v>128418</v>
      </c>
      <c r="O112" s="50"/>
      <c r="P112" s="48">
        <v>0</v>
      </c>
      <c r="Q112" s="21">
        <f t="shared" si="5"/>
        <v>5848992</v>
      </c>
      <c r="R112" s="55">
        <v>5848992</v>
      </c>
      <c r="S112" s="23">
        <f t="shared" si="7"/>
        <v>0</v>
      </c>
      <c r="T112" s="115"/>
      <c r="U112" s="26">
        <v>43307</v>
      </c>
      <c r="V112" s="26">
        <v>43307</v>
      </c>
      <c r="W112" s="25">
        <v>43325</v>
      </c>
      <c r="X112" s="104">
        <f t="shared" si="8"/>
        <v>17</v>
      </c>
      <c r="Y112" s="25">
        <f>+W112+120</f>
        <v>43445</v>
      </c>
      <c r="Z112" s="37"/>
      <c r="AA112" s="37"/>
      <c r="AB112" s="15" t="s">
        <v>51</v>
      </c>
      <c r="AC112" s="26">
        <v>43523</v>
      </c>
      <c r="AD112" s="26"/>
      <c r="AE112" s="26" t="s">
        <v>53</v>
      </c>
      <c r="AF112" s="110"/>
      <c r="AG112" s="27" t="s">
        <v>137</v>
      </c>
      <c r="AH112" s="29" t="s">
        <v>763</v>
      </c>
      <c r="AI112" s="106">
        <v>43312</v>
      </c>
      <c r="AJ112" s="28">
        <v>52534923</v>
      </c>
      <c r="AK112" s="29" t="s">
        <v>126</v>
      </c>
      <c r="AL112" s="29">
        <v>43312</v>
      </c>
      <c r="AM112" s="31" t="s">
        <v>621</v>
      </c>
      <c r="AN112" s="32" t="s">
        <v>841</v>
      </c>
      <c r="AO112" s="57" t="s">
        <v>305</v>
      </c>
      <c r="AP112" s="107" t="s">
        <v>306</v>
      </c>
      <c r="AQ112" s="108">
        <f>1169798.4+2924496+292449.6+156248400</f>
        <v>160635144</v>
      </c>
      <c r="AR112" s="32" t="s">
        <v>842</v>
      </c>
      <c r="AS112" s="59" t="s">
        <v>843</v>
      </c>
      <c r="AT112" s="31" t="s">
        <v>844</v>
      </c>
    </row>
    <row r="113" spans="1:46" ht="22.5" x14ac:dyDescent="0.25">
      <c r="A113" s="14" t="s">
        <v>845</v>
      </c>
      <c r="B113" s="15" t="s">
        <v>399</v>
      </c>
      <c r="C113" s="15" t="s">
        <v>838</v>
      </c>
      <c r="D113" s="14" t="s">
        <v>266</v>
      </c>
      <c r="E113" s="15" t="s">
        <v>120</v>
      </c>
      <c r="F113" s="16" t="s">
        <v>846</v>
      </c>
      <c r="G113" s="17">
        <v>800239963</v>
      </c>
      <c r="H113" s="17">
        <v>7</v>
      </c>
      <c r="I113" s="18" t="s">
        <v>847</v>
      </c>
      <c r="J113" s="104" t="s">
        <v>349</v>
      </c>
      <c r="K113" s="15"/>
      <c r="L113" s="26"/>
      <c r="M113" s="55">
        <v>34179840</v>
      </c>
      <c r="N113" s="50">
        <v>128518</v>
      </c>
      <c r="O113" s="50"/>
      <c r="P113" s="48">
        <v>0</v>
      </c>
      <c r="Q113" s="21">
        <f t="shared" si="5"/>
        <v>34179840</v>
      </c>
      <c r="R113" s="55"/>
      <c r="S113" s="23">
        <f t="shared" si="7"/>
        <v>34179840</v>
      </c>
      <c r="T113" s="115"/>
      <c r="U113" s="26">
        <v>43307</v>
      </c>
      <c r="V113" s="26">
        <v>43307</v>
      </c>
      <c r="W113" s="25">
        <v>43325</v>
      </c>
      <c r="X113" s="104">
        <f t="shared" si="8"/>
        <v>17</v>
      </c>
      <c r="Y113" s="25">
        <f t="shared" ref="Y113:Y135" si="10">+W113+120</f>
        <v>43445</v>
      </c>
      <c r="Z113" s="37"/>
      <c r="AA113" s="37"/>
      <c r="AB113" s="15" t="s">
        <v>51</v>
      </c>
      <c r="AC113" s="26">
        <v>43549</v>
      </c>
      <c r="AD113" s="26"/>
      <c r="AE113" s="26" t="s">
        <v>53</v>
      </c>
      <c r="AF113" s="110"/>
      <c r="AG113" s="27" t="s">
        <v>137</v>
      </c>
      <c r="AH113" s="29" t="s">
        <v>763</v>
      </c>
      <c r="AI113" s="106"/>
      <c r="AJ113" s="28">
        <v>52534923</v>
      </c>
      <c r="AK113" s="29" t="s">
        <v>126</v>
      </c>
      <c r="AL113" s="29">
        <v>43313</v>
      </c>
      <c r="AM113" s="31" t="s">
        <v>127</v>
      </c>
      <c r="AN113" s="32" t="s">
        <v>848</v>
      </c>
      <c r="AO113" s="57" t="s">
        <v>305</v>
      </c>
      <c r="AP113" s="107" t="s">
        <v>434</v>
      </c>
      <c r="AQ113" s="108">
        <f>6835968+17089920+1708992+156248400</f>
        <v>181883280</v>
      </c>
      <c r="AR113" s="32" t="s">
        <v>849</v>
      </c>
      <c r="AS113" s="59" t="s">
        <v>843</v>
      </c>
      <c r="AT113" s="31" t="s">
        <v>850</v>
      </c>
    </row>
    <row r="114" spans="1:46" ht="22.5" x14ac:dyDescent="0.25">
      <c r="A114" s="14" t="s">
        <v>851</v>
      </c>
      <c r="B114" s="15" t="s">
        <v>399</v>
      </c>
      <c r="C114" s="15" t="s">
        <v>838</v>
      </c>
      <c r="D114" s="14" t="s">
        <v>266</v>
      </c>
      <c r="E114" s="15" t="s">
        <v>120</v>
      </c>
      <c r="F114" s="16" t="s">
        <v>852</v>
      </c>
      <c r="G114" s="17">
        <v>79847793</v>
      </c>
      <c r="H114" s="17"/>
      <c r="I114" s="18" t="s">
        <v>853</v>
      </c>
      <c r="J114" s="104" t="s">
        <v>349</v>
      </c>
      <c r="K114" s="15"/>
      <c r="L114" s="26"/>
      <c r="M114" s="55">
        <v>28748160</v>
      </c>
      <c r="N114" s="50">
        <v>128318</v>
      </c>
      <c r="O114" s="50"/>
      <c r="P114" s="48">
        <v>0</v>
      </c>
      <c r="Q114" s="21">
        <f t="shared" si="5"/>
        <v>28748160</v>
      </c>
      <c r="R114" s="55"/>
      <c r="S114" s="23">
        <f t="shared" si="7"/>
        <v>28748160</v>
      </c>
      <c r="T114" s="115"/>
      <c r="U114" s="26">
        <v>43307</v>
      </c>
      <c r="V114" s="26">
        <v>43307</v>
      </c>
      <c r="W114" s="25">
        <v>43325</v>
      </c>
      <c r="X114" s="104">
        <f t="shared" si="8"/>
        <v>17</v>
      </c>
      <c r="Y114" s="25">
        <f t="shared" si="10"/>
        <v>43445</v>
      </c>
      <c r="Z114" s="37"/>
      <c r="AA114" s="37"/>
      <c r="AB114" s="15" t="s">
        <v>51</v>
      </c>
      <c r="AC114" s="26">
        <v>43537</v>
      </c>
      <c r="AD114" s="26"/>
      <c r="AE114" s="26" t="s">
        <v>53</v>
      </c>
      <c r="AF114" s="110"/>
      <c r="AG114" s="27" t="s">
        <v>137</v>
      </c>
      <c r="AH114" s="29" t="s">
        <v>763</v>
      </c>
      <c r="AI114" s="106">
        <v>43312</v>
      </c>
      <c r="AJ114" s="28">
        <v>52534923</v>
      </c>
      <c r="AK114" s="29" t="s">
        <v>126</v>
      </c>
      <c r="AL114" s="29">
        <v>43311</v>
      </c>
      <c r="AM114" s="31" t="s">
        <v>127</v>
      </c>
      <c r="AN114" s="32" t="s">
        <v>854</v>
      </c>
      <c r="AO114" s="57" t="s">
        <v>305</v>
      </c>
      <c r="AP114" s="107" t="s">
        <v>434</v>
      </c>
      <c r="AQ114" s="108">
        <f>5749632+14374080+1437408+156248400</f>
        <v>177809520</v>
      </c>
      <c r="AR114" s="32" t="s">
        <v>855</v>
      </c>
      <c r="AS114" s="59" t="s">
        <v>843</v>
      </c>
      <c r="AT114" s="31" t="s">
        <v>856</v>
      </c>
    </row>
    <row r="115" spans="1:46" ht="22.5" x14ac:dyDescent="0.25">
      <c r="A115" s="14" t="s">
        <v>857</v>
      </c>
      <c r="B115" s="15" t="s">
        <v>399</v>
      </c>
      <c r="C115" s="15" t="s">
        <v>838</v>
      </c>
      <c r="D115" s="14" t="s">
        <v>266</v>
      </c>
      <c r="E115" s="15" t="s">
        <v>120</v>
      </c>
      <c r="F115" s="16" t="s">
        <v>858</v>
      </c>
      <c r="G115" s="17">
        <v>900370262</v>
      </c>
      <c r="H115" s="17">
        <v>4</v>
      </c>
      <c r="I115" s="18" t="s">
        <v>859</v>
      </c>
      <c r="J115" s="104" t="s">
        <v>349</v>
      </c>
      <c r="K115" s="15"/>
      <c r="L115" s="26"/>
      <c r="M115" s="55">
        <v>26751024</v>
      </c>
      <c r="N115" s="50">
        <v>12818</v>
      </c>
      <c r="O115" s="50"/>
      <c r="P115" s="21"/>
      <c r="Q115" s="21">
        <f t="shared" si="5"/>
        <v>26751024</v>
      </c>
      <c r="R115" s="55">
        <v>26751024</v>
      </c>
      <c r="S115" s="23">
        <f t="shared" si="7"/>
        <v>0</v>
      </c>
      <c r="T115" s="115"/>
      <c r="U115" s="26">
        <v>43307</v>
      </c>
      <c r="V115" s="26">
        <v>43307</v>
      </c>
      <c r="W115" s="25">
        <v>43325</v>
      </c>
      <c r="X115" s="104">
        <f t="shared" si="8"/>
        <v>17</v>
      </c>
      <c r="Y115" s="25">
        <f t="shared" si="10"/>
        <v>43445</v>
      </c>
      <c r="Z115" s="37"/>
      <c r="AA115" s="37"/>
      <c r="AB115" s="15" t="s">
        <v>51</v>
      </c>
      <c r="AC115" s="26">
        <v>43431</v>
      </c>
      <c r="AD115" s="26" t="s">
        <v>52</v>
      </c>
      <c r="AE115" s="26" t="s">
        <v>53</v>
      </c>
      <c r="AF115" s="110"/>
      <c r="AG115" s="27" t="s">
        <v>137</v>
      </c>
      <c r="AH115" s="29" t="s">
        <v>763</v>
      </c>
      <c r="AI115" s="106">
        <v>43312</v>
      </c>
      <c r="AJ115" s="28">
        <v>52534923</v>
      </c>
      <c r="AK115" s="29" t="s">
        <v>126</v>
      </c>
      <c r="AL115" s="29">
        <v>43312</v>
      </c>
      <c r="AM115" s="31" t="s">
        <v>127</v>
      </c>
      <c r="AN115" s="32" t="s">
        <v>860</v>
      </c>
      <c r="AO115" s="57" t="s">
        <v>305</v>
      </c>
      <c r="AP115" s="107" t="s">
        <v>434</v>
      </c>
      <c r="AQ115" s="108">
        <f>5350204.8+13375512+1337551.2+156248400</f>
        <v>176311668</v>
      </c>
      <c r="AR115" s="32" t="s">
        <v>861</v>
      </c>
      <c r="AS115" s="59" t="s">
        <v>843</v>
      </c>
      <c r="AT115" s="31" t="s">
        <v>862</v>
      </c>
    </row>
    <row r="116" spans="1:46" ht="22.5" x14ac:dyDescent="0.25">
      <c r="A116" s="14" t="s">
        <v>863</v>
      </c>
      <c r="B116" s="15" t="s">
        <v>399</v>
      </c>
      <c r="C116" s="15" t="s">
        <v>838</v>
      </c>
      <c r="D116" s="14" t="s">
        <v>266</v>
      </c>
      <c r="E116" s="15" t="s">
        <v>120</v>
      </c>
      <c r="F116" s="16" t="s">
        <v>864</v>
      </c>
      <c r="G116" s="17">
        <v>900086521</v>
      </c>
      <c r="H116" s="17"/>
      <c r="I116" s="18" t="s">
        <v>865</v>
      </c>
      <c r="J116" s="104" t="s">
        <v>349</v>
      </c>
      <c r="K116" s="15"/>
      <c r="L116" s="26"/>
      <c r="M116" s="55">
        <v>11346912</v>
      </c>
      <c r="N116" s="50">
        <v>128918</v>
      </c>
      <c r="O116" s="50"/>
      <c r="P116" s="48">
        <v>0</v>
      </c>
      <c r="Q116" s="21">
        <f t="shared" si="5"/>
        <v>11346912</v>
      </c>
      <c r="R116" s="55">
        <v>11346912</v>
      </c>
      <c r="S116" s="23">
        <f t="shared" si="7"/>
        <v>0</v>
      </c>
      <c r="T116" s="115"/>
      <c r="U116" s="26">
        <v>43308</v>
      </c>
      <c r="V116" s="26">
        <v>43308</v>
      </c>
      <c r="W116" s="25">
        <v>43325</v>
      </c>
      <c r="X116" s="104">
        <f t="shared" si="8"/>
        <v>16</v>
      </c>
      <c r="Y116" s="25">
        <f t="shared" si="10"/>
        <v>43445</v>
      </c>
      <c r="Z116" s="37"/>
      <c r="AA116" s="37"/>
      <c r="AB116" s="15" t="s">
        <v>51</v>
      </c>
      <c r="AC116" s="26">
        <v>43518</v>
      </c>
      <c r="AD116" s="26"/>
      <c r="AE116" s="26"/>
      <c r="AF116" s="110"/>
      <c r="AG116" s="27" t="s">
        <v>137</v>
      </c>
      <c r="AH116" s="29" t="s">
        <v>763</v>
      </c>
      <c r="AI116" s="106">
        <v>43312</v>
      </c>
      <c r="AJ116" s="28">
        <v>52534923</v>
      </c>
      <c r="AK116" s="29" t="s">
        <v>126</v>
      </c>
      <c r="AL116" s="29">
        <v>43312</v>
      </c>
      <c r="AM116" s="31" t="s">
        <v>127</v>
      </c>
      <c r="AN116" s="32" t="s">
        <v>866</v>
      </c>
      <c r="AO116" s="57" t="s">
        <v>305</v>
      </c>
      <c r="AP116" s="107" t="s">
        <v>306</v>
      </c>
      <c r="AQ116" s="108">
        <f>2269382.4+5673456+567345.6+156248400</f>
        <v>164758584</v>
      </c>
      <c r="AR116" s="32" t="s">
        <v>867</v>
      </c>
      <c r="AS116" s="59" t="s">
        <v>843</v>
      </c>
      <c r="AT116" s="31" t="s">
        <v>868</v>
      </c>
    </row>
    <row r="117" spans="1:46" ht="22.5" x14ac:dyDescent="0.25">
      <c r="A117" s="14" t="s">
        <v>869</v>
      </c>
      <c r="B117" s="15" t="s">
        <v>399</v>
      </c>
      <c r="C117" s="15" t="s">
        <v>838</v>
      </c>
      <c r="D117" s="14" t="s">
        <v>266</v>
      </c>
      <c r="E117" s="15" t="s">
        <v>120</v>
      </c>
      <c r="F117" s="16" t="s">
        <v>870</v>
      </c>
      <c r="G117" s="17">
        <v>860504860</v>
      </c>
      <c r="H117" s="17">
        <v>1</v>
      </c>
      <c r="I117" s="18" t="s">
        <v>871</v>
      </c>
      <c r="J117" s="104" t="s">
        <v>349</v>
      </c>
      <c r="K117" s="15"/>
      <c r="L117" s="26"/>
      <c r="M117" s="55">
        <v>211934880</v>
      </c>
      <c r="N117" s="50">
        <v>129218</v>
      </c>
      <c r="O117" s="50"/>
      <c r="P117" s="48">
        <v>0</v>
      </c>
      <c r="Q117" s="21">
        <f t="shared" si="5"/>
        <v>211934880</v>
      </c>
      <c r="R117" s="55"/>
      <c r="S117" s="23">
        <f t="shared" si="7"/>
        <v>211934880</v>
      </c>
      <c r="T117" s="115"/>
      <c r="U117" s="26">
        <v>43308</v>
      </c>
      <c r="V117" s="26">
        <v>43308</v>
      </c>
      <c r="W117" s="25">
        <v>43325</v>
      </c>
      <c r="X117" s="104">
        <f t="shared" si="8"/>
        <v>16</v>
      </c>
      <c r="Y117" s="25">
        <f t="shared" si="10"/>
        <v>43445</v>
      </c>
      <c r="Z117" s="37"/>
      <c r="AA117" s="37"/>
      <c r="AB117" s="15" t="s">
        <v>51</v>
      </c>
      <c r="AC117" s="26">
        <v>43572</v>
      </c>
      <c r="AD117" s="26"/>
      <c r="AE117" s="26" t="s">
        <v>53</v>
      </c>
      <c r="AF117" s="110"/>
      <c r="AG117" s="27" t="s">
        <v>137</v>
      </c>
      <c r="AH117" s="29" t="s">
        <v>763</v>
      </c>
      <c r="AI117" s="106">
        <v>43312</v>
      </c>
      <c r="AJ117" s="28">
        <v>52534923</v>
      </c>
      <c r="AK117" s="29" t="s">
        <v>126</v>
      </c>
      <c r="AL117" s="29">
        <v>43312</v>
      </c>
      <c r="AM117" s="27" t="s">
        <v>872</v>
      </c>
      <c r="AN117" s="32" t="s">
        <v>873</v>
      </c>
      <c r="AO117" s="57" t="s">
        <v>305</v>
      </c>
      <c r="AP117" s="107" t="s">
        <v>434</v>
      </c>
      <c r="AQ117" s="108">
        <f>42386976+105967440+10596744+156248400</f>
        <v>315199560</v>
      </c>
      <c r="AR117" s="32">
        <v>4000001115</v>
      </c>
      <c r="AS117" s="59" t="s">
        <v>843</v>
      </c>
      <c r="AT117" s="31" t="s">
        <v>874</v>
      </c>
    </row>
    <row r="118" spans="1:46" ht="33.75" x14ac:dyDescent="0.25">
      <c r="A118" s="14" t="s">
        <v>875</v>
      </c>
      <c r="B118" s="15" t="s">
        <v>243</v>
      </c>
      <c r="C118" s="15" t="s">
        <v>876</v>
      </c>
      <c r="D118" s="15" t="s">
        <v>196</v>
      </c>
      <c r="E118" s="15" t="s">
        <v>120</v>
      </c>
      <c r="F118" s="49" t="s">
        <v>877</v>
      </c>
      <c r="G118" s="17">
        <v>901199860</v>
      </c>
      <c r="H118" s="17">
        <v>0</v>
      </c>
      <c r="I118" s="18" t="s">
        <v>878</v>
      </c>
      <c r="J118" s="104" t="s">
        <v>879</v>
      </c>
      <c r="K118" s="15" t="s">
        <v>880</v>
      </c>
      <c r="L118" s="26"/>
      <c r="M118" s="55">
        <v>277921850</v>
      </c>
      <c r="N118" s="50">
        <v>129118</v>
      </c>
      <c r="O118" s="50"/>
      <c r="P118" s="48">
        <v>0</v>
      </c>
      <c r="Q118" s="21">
        <f t="shared" si="5"/>
        <v>277921850</v>
      </c>
      <c r="R118" s="55"/>
      <c r="S118" s="23">
        <f t="shared" si="7"/>
        <v>277921850</v>
      </c>
      <c r="T118" s="115"/>
      <c r="U118" s="26">
        <v>43308</v>
      </c>
      <c r="V118" s="26">
        <v>43308</v>
      </c>
      <c r="W118" s="25">
        <v>43403</v>
      </c>
      <c r="X118" s="104">
        <f t="shared" si="8"/>
        <v>93</v>
      </c>
      <c r="Y118" s="25">
        <f>Z118+120</f>
        <v>43554</v>
      </c>
      <c r="Z118" s="37">
        <v>43434</v>
      </c>
      <c r="AA118" s="37"/>
      <c r="AB118" s="15" t="s">
        <v>51</v>
      </c>
      <c r="AC118" s="26">
        <v>43609</v>
      </c>
      <c r="AD118" s="26"/>
      <c r="AE118" s="26" t="s">
        <v>53</v>
      </c>
      <c r="AF118" s="110"/>
      <c r="AG118" s="27" t="s">
        <v>137</v>
      </c>
      <c r="AH118" s="29" t="s">
        <v>763</v>
      </c>
      <c r="AI118" s="106">
        <v>43312</v>
      </c>
      <c r="AJ118" s="28">
        <v>52534923</v>
      </c>
      <c r="AK118" s="29" t="s">
        <v>126</v>
      </c>
      <c r="AL118" s="29">
        <v>43311</v>
      </c>
      <c r="AM118" s="31" t="s">
        <v>127</v>
      </c>
      <c r="AN118" s="32" t="s">
        <v>881</v>
      </c>
      <c r="AO118" s="57" t="s">
        <v>305</v>
      </c>
      <c r="AP118" s="107" t="s">
        <v>306</v>
      </c>
      <c r="AQ118" s="108">
        <f>111168740+138960925+13896092.5+156248400</f>
        <v>420274157.5</v>
      </c>
      <c r="AR118" s="32" t="s">
        <v>882</v>
      </c>
      <c r="AS118" s="59" t="s">
        <v>883</v>
      </c>
      <c r="AT118" s="31" t="s">
        <v>884</v>
      </c>
    </row>
    <row r="119" spans="1:46" ht="22.5" x14ac:dyDescent="0.25">
      <c r="A119" s="14" t="s">
        <v>885</v>
      </c>
      <c r="B119" s="15" t="s">
        <v>45</v>
      </c>
      <c r="C119" s="15" t="s">
        <v>886</v>
      </c>
      <c r="D119" s="14" t="s">
        <v>318</v>
      </c>
      <c r="E119" s="15" t="s">
        <v>794</v>
      </c>
      <c r="F119" s="49" t="s">
        <v>887</v>
      </c>
      <c r="G119" s="17">
        <v>860025639</v>
      </c>
      <c r="H119" s="17">
        <v>4</v>
      </c>
      <c r="I119" s="49" t="s">
        <v>888</v>
      </c>
      <c r="J119" s="15"/>
      <c r="K119" s="134"/>
      <c r="L119" s="26"/>
      <c r="M119" s="22">
        <v>7222967</v>
      </c>
      <c r="N119" s="50">
        <v>144718</v>
      </c>
      <c r="O119" s="50"/>
      <c r="P119" s="51">
        <v>0</v>
      </c>
      <c r="Q119" s="21">
        <f t="shared" si="5"/>
        <v>7222967</v>
      </c>
      <c r="R119" s="22">
        <f>2407654+3611481</f>
        <v>6019135</v>
      </c>
      <c r="S119" s="23">
        <f>Q119-R119</f>
        <v>1203832</v>
      </c>
      <c r="T119" s="22">
        <v>1203832</v>
      </c>
      <c r="U119" s="26">
        <v>43312</v>
      </c>
      <c r="V119" s="26">
        <v>43343</v>
      </c>
      <c r="W119" s="25">
        <v>43454</v>
      </c>
      <c r="X119" s="104">
        <f t="shared" si="8"/>
        <v>110</v>
      </c>
      <c r="Y119" s="25">
        <f>W119+120</f>
        <v>43574</v>
      </c>
      <c r="Z119" s="15" t="s">
        <v>480</v>
      </c>
      <c r="AA119" s="15"/>
      <c r="AB119" s="15" t="s">
        <v>51</v>
      </c>
      <c r="AC119" s="26">
        <v>43570</v>
      </c>
      <c r="AD119" s="26"/>
      <c r="AE119" s="26" t="s">
        <v>53</v>
      </c>
      <c r="AF119" s="26"/>
      <c r="AG119" s="29" t="s">
        <v>156</v>
      </c>
      <c r="AH119" s="29" t="s">
        <v>384</v>
      </c>
      <c r="AI119" s="29">
        <v>43343</v>
      </c>
      <c r="AJ119" s="28">
        <v>53114465</v>
      </c>
      <c r="AK119" s="31" t="s">
        <v>322</v>
      </c>
      <c r="AL119" s="29">
        <v>43328</v>
      </c>
      <c r="AM119" s="27" t="s">
        <v>654</v>
      </c>
      <c r="AN119" s="116" t="s">
        <v>889</v>
      </c>
      <c r="AO119" s="61" t="s">
        <v>890</v>
      </c>
      <c r="AP119" s="107">
        <v>0.75</v>
      </c>
      <c r="AQ119" s="80">
        <f>156248400+3611484+361148+1444593</f>
        <v>161665625</v>
      </c>
      <c r="AR119" s="32">
        <v>5000000098</v>
      </c>
      <c r="AS119" s="59" t="s">
        <v>891</v>
      </c>
      <c r="AT119" s="27" t="s">
        <v>892</v>
      </c>
    </row>
    <row r="120" spans="1:46" ht="22.5" x14ac:dyDescent="0.25">
      <c r="A120" s="14" t="s">
        <v>893</v>
      </c>
      <c r="B120" s="15" t="s">
        <v>176</v>
      </c>
      <c r="C120" s="15" t="s">
        <v>894</v>
      </c>
      <c r="D120" s="14" t="s">
        <v>102</v>
      </c>
      <c r="E120" s="15" t="s">
        <v>120</v>
      </c>
      <c r="F120" s="138" t="s">
        <v>895</v>
      </c>
      <c r="G120" s="17">
        <v>900497186</v>
      </c>
      <c r="H120" s="17">
        <v>9</v>
      </c>
      <c r="I120" s="18" t="s">
        <v>896</v>
      </c>
      <c r="J120" s="104" t="s">
        <v>349</v>
      </c>
      <c r="K120" s="15"/>
      <c r="L120" s="26"/>
      <c r="M120" s="55">
        <v>4600000</v>
      </c>
      <c r="N120" s="50">
        <v>129818</v>
      </c>
      <c r="O120" s="50"/>
      <c r="P120" s="21"/>
      <c r="Q120" s="21">
        <f t="shared" si="5"/>
        <v>4600000</v>
      </c>
      <c r="R120" s="55">
        <v>4600000</v>
      </c>
      <c r="S120" s="23">
        <f t="shared" si="7"/>
        <v>0</v>
      </c>
      <c r="T120" s="115"/>
      <c r="U120" s="26">
        <v>43313</v>
      </c>
      <c r="V120" s="26">
        <v>43313</v>
      </c>
      <c r="W120" s="25">
        <v>43332</v>
      </c>
      <c r="X120" s="104">
        <f t="shared" si="8"/>
        <v>19</v>
      </c>
      <c r="Y120" s="25">
        <f t="shared" si="10"/>
        <v>43452</v>
      </c>
      <c r="Z120" s="37"/>
      <c r="AA120" s="37"/>
      <c r="AB120" s="15" t="s">
        <v>51</v>
      </c>
      <c r="AC120" s="26">
        <v>43399</v>
      </c>
      <c r="AD120" s="26" t="s">
        <v>52</v>
      </c>
      <c r="AE120" s="26" t="s">
        <v>53</v>
      </c>
      <c r="AF120" s="110"/>
      <c r="AG120" s="29" t="s">
        <v>538</v>
      </c>
      <c r="AH120" s="29" t="s">
        <v>384</v>
      </c>
      <c r="AI120" s="106">
        <v>43314</v>
      </c>
      <c r="AJ120" s="28">
        <v>53114465</v>
      </c>
      <c r="AK120" s="29" t="s">
        <v>126</v>
      </c>
      <c r="AL120" s="29">
        <v>43313</v>
      </c>
      <c r="AM120" s="31" t="s">
        <v>127</v>
      </c>
      <c r="AN120" s="32" t="s">
        <v>897</v>
      </c>
      <c r="AO120" s="57" t="s">
        <v>305</v>
      </c>
      <c r="AP120" s="107">
        <v>0.9</v>
      </c>
      <c r="AQ120" s="108">
        <f>1610000+2300000+230000</f>
        <v>4140000</v>
      </c>
      <c r="AR120" s="32" t="s">
        <v>898</v>
      </c>
      <c r="AS120" s="59" t="s">
        <v>51</v>
      </c>
      <c r="AT120" s="31" t="s">
        <v>899</v>
      </c>
    </row>
    <row r="121" spans="1:46" ht="33.75" x14ac:dyDescent="0.25">
      <c r="A121" s="14" t="s">
        <v>900</v>
      </c>
      <c r="B121" s="15" t="s">
        <v>176</v>
      </c>
      <c r="C121" s="15" t="s">
        <v>901</v>
      </c>
      <c r="D121" s="14" t="s">
        <v>102</v>
      </c>
      <c r="E121" s="15" t="s">
        <v>628</v>
      </c>
      <c r="F121" s="138" t="s">
        <v>902</v>
      </c>
      <c r="G121" s="17">
        <v>900268429</v>
      </c>
      <c r="H121" s="17"/>
      <c r="I121" s="18" t="s">
        <v>903</v>
      </c>
      <c r="J121" s="104" t="s">
        <v>480</v>
      </c>
      <c r="K121" s="104" t="s">
        <v>480</v>
      </c>
      <c r="L121" s="104" t="s">
        <v>480</v>
      </c>
      <c r="M121" s="22">
        <v>17989943</v>
      </c>
      <c r="N121" s="50">
        <v>133618</v>
      </c>
      <c r="O121" s="50"/>
      <c r="P121" s="115">
        <v>0</v>
      </c>
      <c r="Q121" s="21">
        <f t="shared" si="5"/>
        <v>17989943</v>
      </c>
      <c r="R121" s="50">
        <v>0</v>
      </c>
      <c r="S121" s="23">
        <f t="shared" si="7"/>
        <v>17989943</v>
      </c>
      <c r="T121" s="115" t="s">
        <v>480</v>
      </c>
      <c r="U121" s="26">
        <v>43314</v>
      </c>
      <c r="V121" s="26">
        <v>43360</v>
      </c>
      <c r="W121" s="25">
        <v>43449</v>
      </c>
      <c r="X121" s="104">
        <f t="shared" si="8"/>
        <v>88</v>
      </c>
      <c r="Y121" s="25">
        <f t="shared" si="10"/>
        <v>43569</v>
      </c>
      <c r="Z121" s="25" t="s">
        <v>480</v>
      </c>
      <c r="AA121" s="25"/>
      <c r="AB121" s="15" t="s">
        <v>51</v>
      </c>
      <c r="AC121" s="26">
        <v>43656</v>
      </c>
      <c r="AD121" s="26"/>
      <c r="AE121" s="26"/>
      <c r="AF121" s="60"/>
      <c r="AG121" s="29" t="s">
        <v>538</v>
      </c>
      <c r="AH121" s="29" t="s">
        <v>384</v>
      </c>
      <c r="AI121" s="29">
        <v>43322</v>
      </c>
      <c r="AJ121" s="28">
        <v>53114465</v>
      </c>
      <c r="AK121" s="29" t="s">
        <v>126</v>
      </c>
      <c r="AL121" s="29">
        <v>43314</v>
      </c>
      <c r="AM121" s="27" t="s">
        <v>95</v>
      </c>
      <c r="AN121" s="70" t="s">
        <v>904</v>
      </c>
      <c r="AO121" s="27" t="s">
        <v>305</v>
      </c>
      <c r="AP121" s="107" t="s">
        <v>905</v>
      </c>
      <c r="AQ121" s="80" t="s">
        <v>906</v>
      </c>
      <c r="AR121" s="70" t="s">
        <v>907</v>
      </c>
      <c r="AS121" s="59" t="s">
        <v>639</v>
      </c>
      <c r="AT121" s="116">
        <v>20186030239143</v>
      </c>
    </row>
    <row r="122" spans="1:46" ht="45" x14ac:dyDescent="0.25">
      <c r="A122" s="14" t="s">
        <v>908</v>
      </c>
      <c r="B122" s="15" t="s">
        <v>176</v>
      </c>
      <c r="C122" s="15" t="s">
        <v>909</v>
      </c>
      <c r="D122" s="14" t="s">
        <v>102</v>
      </c>
      <c r="E122" s="15" t="s">
        <v>628</v>
      </c>
      <c r="F122" s="138" t="s">
        <v>910</v>
      </c>
      <c r="G122" s="17">
        <v>900893841</v>
      </c>
      <c r="H122" s="17">
        <v>3</v>
      </c>
      <c r="I122" s="18" t="s">
        <v>911</v>
      </c>
      <c r="J122" s="104" t="s">
        <v>480</v>
      </c>
      <c r="K122" s="104" t="s">
        <v>480</v>
      </c>
      <c r="L122" s="104" t="s">
        <v>480</v>
      </c>
      <c r="M122" s="22">
        <v>14280000</v>
      </c>
      <c r="N122" s="50">
        <v>35318</v>
      </c>
      <c r="O122" s="50"/>
      <c r="P122" s="115">
        <v>0</v>
      </c>
      <c r="Q122" s="21">
        <f t="shared" si="5"/>
        <v>14280000</v>
      </c>
      <c r="R122" s="22">
        <v>7140000</v>
      </c>
      <c r="S122" s="23">
        <f t="shared" si="7"/>
        <v>7140000</v>
      </c>
      <c r="T122" s="115" t="s">
        <v>480</v>
      </c>
      <c r="U122" s="26">
        <v>43314</v>
      </c>
      <c r="V122" s="26">
        <v>43321</v>
      </c>
      <c r="W122" s="25">
        <v>43388</v>
      </c>
      <c r="X122" s="104">
        <f t="shared" si="8"/>
        <v>66</v>
      </c>
      <c r="Y122" s="25">
        <f t="shared" si="10"/>
        <v>43508</v>
      </c>
      <c r="Z122" s="25" t="s">
        <v>480</v>
      </c>
      <c r="AA122" s="25"/>
      <c r="AB122" s="15" t="s">
        <v>51</v>
      </c>
      <c r="AC122" s="26">
        <v>43650</v>
      </c>
      <c r="AD122" s="26"/>
      <c r="AE122" s="26"/>
      <c r="AF122" s="60"/>
      <c r="AG122" s="29" t="s">
        <v>538</v>
      </c>
      <c r="AH122" s="29" t="s">
        <v>384</v>
      </c>
      <c r="AI122" s="29">
        <v>43325</v>
      </c>
      <c r="AJ122" s="28">
        <v>53114465</v>
      </c>
      <c r="AK122" s="29" t="s">
        <v>126</v>
      </c>
      <c r="AL122" s="29">
        <v>43315</v>
      </c>
      <c r="AM122" s="27" t="s">
        <v>717</v>
      </c>
      <c r="AN122" s="70" t="s">
        <v>912</v>
      </c>
      <c r="AO122" s="27" t="s">
        <v>305</v>
      </c>
      <c r="AP122" s="107" t="s">
        <v>913</v>
      </c>
      <c r="AQ122" s="80" t="s">
        <v>914</v>
      </c>
      <c r="AR122" s="70" t="s">
        <v>915</v>
      </c>
      <c r="AS122" s="59" t="s">
        <v>480</v>
      </c>
      <c r="AT122" s="116">
        <v>20186030239413</v>
      </c>
    </row>
    <row r="123" spans="1:46" ht="22.5" x14ac:dyDescent="0.25">
      <c r="A123" s="14" t="s">
        <v>916</v>
      </c>
      <c r="B123" s="15" t="s">
        <v>399</v>
      </c>
      <c r="C123" s="15" t="s">
        <v>838</v>
      </c>
      <c r="D123" s="14" t="s">
        <v>502</v>
      </c>
      <c r="E123" s="15" t="s">
        <v>120</v>
      </c>
      <c r="F123" s="49" t="s">
        <v>917</v>
      </c>
      <c r="G123" s="17">
        <v>860035198</v>
      </c>
      <c r="H123" s="17">
        <v>0</v>
      </c>
      <c r="I123" s="18" t="s">
        <v>918</v>
      </c>
      <c r="J123" s="104" t="s">
        <v>349</v>
      </c>
      <c r="K123" s="15"/>
      <c r="L123" s="26"/>
      <c r="M123" s="55">
        <v>11260800</v>
      </c>
      <c r="N123" s="50">
        <v>132318</v>
      </c>
      <c r="O123" s="50"/>
      <c r="P123" s="21"/>
      <c r="Q123" s="21">
        <f t="shared" si="5"/>
        <v>11260800</v>
      </c>
      <c r="R123" s="55">
        <v>11260800</v>
      </c>
      <c r="S123" s="23">
        <f t="shared" si="7"/>
        <v>0</v>
      </c>
      <c r="T123" s="115"/>
      <c r="U123" s="26">
        <v>43314</v>
      </c>
      <c r="V123" s="26">
        <v>43314</v>
      </c>
      <c r="W123" s="25">
        <v>43325</v>
      </c>
      <c r="X123" s="104">
        <f t="shared" si="8"/>
        <v>11</v>
      </c>
      <c r="Y123" s="25">
        <f t="shared" si="10"/>
        <v>43445</v>
      </c>
      <c r="Z123" s="37"/>
      <c r="AA123" s="37"/>
      <c r="AB123" s="15" t="s">
        <v>51</v>
      </c>
      <c r="AC123" s="26">
        <v>43434</v>
      </c>
      <c r="AD123" s="26" t="s">
        <v>52</v>
      </c>
      <c r="AE123" s="26" t="s">
        <v>632</v>
      </c>
      <c r="AF123" s="110"/>
      <c r="AG123" s="27" t="s">
        <v>137</v>
      </c>
      <c r="AH123" s="29" t="s">
        <v>763</v>
      </c>
      <c r="AI123" s="106">
        <v>43318</v>
      </c>
      <c r="AJ123" s="28">
        <v>52534923</v>
      </c>
      <c r="AK123" s="29" t="s">
        <v>126</v>
      </c>
      <c r="AL123" s="29">
        <v>43318</v>
      </c>
      <c r="AM123" s="31" t="s">
        <v>578</v>
      </c>
      <c r="AN123" s="32">
        <v>2945424</v>
      </c>
      <c r="AO123" s="57" t="s">
        <v>305</v>
      </c>
      <c r="AP123" s="107" t="s">
        <v>434</v>
      </c>
      <c r="AQ123" s="108">
        <f>2252160+5630400+563040+156248400</f>
        <v>164694000</v>
      </c>
      <c r="AR123" s="32" t="s">
        <v>919</v>
      </c>
      <c r="AS123" s="59" t="s">
        <v>843</v>
      </c>
      <c r="AT123" s="31" t="s">
        <v>920</v>
      </c>
    </row>
    <row r="124" spans="1:46" ht="22.5" x14ac:dyDescent="0.25">
      <c r="A124" s="14" t="s">
        <v>921</v>
      </c>
      <c r="B124" s="15" t="s">
        <v>399</v>
      </c>
      <c r="C124" s="15" t="s">
        <v>922</v>
      </c>
      <c r="D124" s="14" t="s">
        <v>502</v>
      </c>
      <c r="E124" s="15" t="s">
        <v>794</v>
      </c>
      <c r="F124" s="49" t="s">
        <v>923</v>
      </c>
      <c r="G124" s="17" t="s">
        <v>924</v>
      </c>
      <c r="H124" s="17">
        <v>4</v>
      </c>
      <c r="I124" s="49" t="s">
        <v>925</v>
      </c>
      <c r="J124" s="104" t="s">
        <v>926</v>
      </c>
      <c r="K124" s="15" t="s">
        <v>927</v>
      </c>
      <c r="L124" s="26">
        <v>43066</v>
      </c>
      <c r="M124" s="22">
        <v>3295708</v>
      </c>
      <c r="N124" s="50">
        <v>140618</v>
      </c>
      <c r="O124" s="50"/>
      <c r="P124" s="51">
        <v>0</v>
      </c>
      <c r="Q124" s="21">
        <f>M124+P124</f>
        <v>3295708</v>
      </c>
      <c r="R124" s="21">
        <f>N124+Q124</f>
        <v>3436326</v>
      </c>
      <c r="S124" s="23">
        <v>0</v>
      </c>
      <c r="T124" s="23">
        <v>0</v>
      </c>
      <c r="U124" s="26">
        <v>43320</v>
      </c>
      <c r="V124" s="26">
        <v>43321</v>
      </c>
      <c r="W124" s="25">
        <v>43381</v>
      </c>
      <c r="X124" s="104">
        <f t="shared" si="8"/>
        <v>59</v>
      </c>
      <c r="Y124" s="25">
        <f>W124+120</f>
        <v>43501</v>
      </c>
      <c r="Z124" s="25" t="s">
        <v>480</v>
      </c>
      <c r="AA124" s="25"/>
      <c r="AB124" s="15" t="s">
        <v>51</v>
      </c>
      <c r="AC124" s="26">
        <v>43580</v>
      </c>
      <c r="AD124" s="26"/>
      <c r="AE124" s="26"/>
      <c r="AF124" s="110"/>
      <c r="AG124" s="29" t="s">
        <v>137</v>
      </c>
      <c r="AH124" s="29" t="s">
        <v>928</v>
      </c>
      <c r="AI124" s="29">
        <v>43325</v>
      </c>
      <c r="AJ124" s="28">
        <v>1030525589</v>
      </c>
      <c r="AK124" s="29" t="s">
        <v>322</v>
      </c>
      <c r="AL124" s="29">
        <v>43320</v>
      </c>
      <c r="AM124" s="27" t="s">
        <v>717</v>
      </c>
      <c r="AN124" s="27" t="s">
        <v>929</v>
      </c>
      <c r="AO124" s="61" t="s">
        <v>890</v>
      </c>
      <c r="AP124" s="33">
        <v>0.9</v>
      </c>
      <c r="AQ124" s="80">
        <f>156248400+1647854+1153497+164785</f>
        <v>159214536</v>
      </c>
      <c r="AR124" s="32" t="s">
        <v>930</v>
      </c>
      <c r="AS124" s="59" t="s">
        <v>931</v>
      </c>
      <c r="AT124" s="27" t="s">
        <v>932</v>
      </c>
    </row>
    <row r="125" spans="1:46" ht="22.5" x14ac:dyDescent="0.25">
      <c r="A125" s="14" t="s">
        <v>933</v>
      </c>
      <c r="B125" s="15" t="s">
        <v>399</v>
      </c>
      <c r="C125" s="15" t="s">
        <v>922</v>
      </c>
      <c r="D125" s="14" t="s">
        <v>266</v>
      </c>
      <c r="E125" s="15" t="s">
        <v>794</v>
      </c>
      <c r="F125" s="49" t="s">
        <v>934</v>
      </c>
      <c r="G125" s="17">
        <v>830006596</v>
      </c>
      <c r="H125" s="17">
        <v>6</v>
      </c>
      <c r="I125" s="49" t="s">
        <v>925</v>
      </c>
      <c r="J125" s="104" t="s">
        <v>926</v>
      </c>
      <c r="K125" s="15" t="s">
        <v>927</v>
      </c>
      <c r="L125" s="26">
        <v>43066</v>
      </c>
      <c r="M125" s="22">
        <v>23768000</v>
      </c>
      <c r="N125" s="50">
        <v>140718</v>
      </c>
      <c r="O125" s="50"/>
      <c r="P125" s="23">
        <v>0</v>
      </c>
      <c r="Q125" s="21">
        <f t="shared" si="5"/>
        <v>23768000</v>
      </c>
      <c r="R125" s="21">
        <v>23660000</v>
      </c>
      <c r="S125" s="23">
        <f t="shared" si="7"/>
        <v>108000</v>
      </c>
      <c r="T125" s="23">
        <v>108000</v>
      </c>
      <c r="U125" s="26">
        <v>43320</v>
      </c>
      <c r="V125" s="26">
        <v>43321</v>
      </c>
      <c r="W125" s="25">
        <v>43381</v>
      </c>
      <c r="X125" s="104">
        <f t="shared" si="8"/>
        <v>59</v>
      </c>
      <c r="Y125" s="25">
        <f t="shared" si="10"/>
        <v>43501</v>
      </c>
      <c r="Z125" s="25" t="s">
        <v>480</v>
      </c>
      <c r="AA125" s="25"/>
      <c r="AB125" s="15" t="s">
        <v>51</v>
      </c>
      <c r="AC125" s="26">
        <v>43452</v>
      </c>
      <c r="AD125" s="26" t="s">
        <v>52</v>
      </c>
      <c r="AE125" s="26" t="s">
        <v>52</v>
      </c>
      <c r="AF125" s="110"/>
      <c r="AG125" s="29" t="s">
        <v>137</v>
      </c>
      <c r="AH125" s="29" t="s">
        <v>928</v>
      </c>
      <c r="AI125" s="29">
        <v>43325</v>
      </c>
      <c r="AJ125" s="28">
        <v>1030525589</v>
      </c>
      <c r="AK125" s="29" t="s">
        <v>322</v>
      </c>
      <c r="AL125" s="29">
        <v>43321</v>
      </c>
      <c r="AM125" s="27" t="s">
        <v>372</v>
      </c>
      <c r="AN125" s="70" t="s">
        <v>935</v>
      </c>
      <c r="AO125" s="61" t="s">
        <v>890</v>
      </c>
      <c r="AP125" s="33">
        <v>0.9</v>
      </c>
      <c r="AQ125" s="80">
        <f>156248400+8318800+1188400+11884000</f>
        <v>177639600</v>
      </c>
      <c r="AR125" s="32" t="s">
        <v>936</v>
      </c>
      <c r="AS125" s="59" t="s">
        <v>937</v>
      </c>
      <c r="AT125" s="27" t="s">
        <v>938</v>
      </c>
    </row>
    <row r="126" spans="1:46" ht="22.5" x14ac:dyDescent="0.25">
      <c r="A126" s="14" t="s">
        <v>939</v>
      </c>
      <c r="B126" s="15" t="s">
        <v>399</v>
      </c>
      <c r="C126" s="15" t="s">
        <v>922</v>
      </c>
      <c r="D126" s="14" t="s">
        <v>266</v>
      </c>
      <c r="E126" s="15" t="s">
        <v>794</v>
      </c>
      <c r="F126" s="49" t="s">
        <v>940</v>
      </c>
      <c r="G126" s="17">
        <v>900110012</v>
      </c>
      <c r="H126" s="17">
        <v>5</v>
      </c>
      <c r="I126" s="49" t="s">
        <v>925</v>
      </c>
      <c r="J126" s="104" t="s">
        <v>926</v>
      </c>
      <c r="K126" s="15" t="s">
        <v>927</v>
      </c>
      <c r="L126" s="26">
        <v>43066</v>
      </c>
      <c r="M126" s="22">
        <v>21190980</v>
      </c>
      <c r="N126" s="50">
        <v>140818</v>
      </c>
      <c r="O126" s="50"/>
      <c r="P126" s="51">
        <v>0</v>
      </c>
      <c r="Q126" s="21">
        <f t="shared" si="5"/>
        <v>21190980</v>
      </c>
      <c r="R126" s="22">
        <v>21190964</v>
      </c>
      <c r="S126" s="23">
        <f t="shared" si="7"/>
        <v>16</v>
      </c>
      <c r="T126" s="23">
        <v>16</v>
      </c>
      <c r="U126" s="26">
        <v>43320</v>
      </c>
      <c r="V126" s="26">
        <v>43321</v>
      </c>
      <c r="W126" s="25">
        <v>43381</v>
      </c>
      <c r="X126" s="104">
        <f t="shared" si="8"/>
        <v>59</v>
      </c>
      <c r="Y126" s="25">
        <f t="shared" si="10"/>
        <v>43501</v>
      </c>
      <c r="Z126" s="25" t="s">
        <v>480</v>
      </c>
      <c r="AA126" s="25"/>
      <c r="AB126" s="15" t="s">
        <v>51</v>
      </c>
      <c r="AC126" s="26">
        <v>43524</v>
      </c>
      <c r="AD126" s="26"/>
      <c r="AE126" s="26"/>
      <c r="AF126" s="110"/>
      <c r="AG126" s="29" t="s">
        <v>137</v>
      </c>
      <c r="AH126" s="29" t="s">
        <v>928</v>
      </c>
      <c r="AI126" s="29">
        <v>43325</v>
      </c>
      <c r="AJ126" s="28">
        <v>1030525589</v>
      </c>
      <c r="AK126" s="29" t="s">
        <v>322</v>
      </c>
      <c r="AL126" s="29">
        <v>43321</v>
      </c>
      <c r="AM126" s="27" t="s">
        <v>941</v>
      </c>
      <c r="AN126" s="70" t="s">
        <v>942</v>
      </c>
      <c r="AO126" s="61" t="s">
        <v>890</v>
      </c>
      <c r="AP126" s="33">
        <v>0.9</v>
      </c>
      <c r="AQ126" s="80">
        <f>19071882+156248400</f>
        <v>175320282</v>
      </c>
      <c r="AR126" s="32">
        <v>4400000356</v>
      </c>
      <c r="AS126" s="59" t="s">
        <v>943</v>
      </c>
      <c r="AT126" s="27" t="s">
        <v>944</v>
      </c>
    </row>
    <row r="127" spans="1:46" ht="22.5" x14ac:dyDescent="0.25">
      <c r="A127" s="14" t="s">
        <v>945</v>
      </c>
      <c r="B127" s="15" t="s">
        <v>399</v>
      </c>
      <c r="C127" s="15" t="s">
        <v>922</v>
      </c>
      <c r="D127" s="14" t="s">
        <v>266</v>
      </c>
      <c r="E127" s="15" t="s">
        <v>794</v>
      </c>
      <c r="F127" s="49" t="s">
        <v>946</v>
      </c>
      <c r="G127" s="17">
        <v>800089111</v>
      </c>
      <c r="H127" s="17">
        <v>4</v>
      </c>
      <c r="I127" s="49" t="s">
        <v>925</v>
      </c>
      <c r="J127" s="104" t="s">
        <v>926</v>
      </c>
      <c r="K127" s="15" t="s">
        <v>927</v>
      </c>
      <c r="L127" s="26">
        <v>43066</v>
      </c>
      <c r="M127" s="22">
        <v>6128496</v>
      </c>
      <c r="N127" s="50">
        <v>135518</v>
      </c>
      <c r="O127" s="50"/>
      <c r="P127" s="51">
        <v>0</v>
      </c>
      <c r="Q127" s="21">
        <f t="shared" si="5"/>
        <v>6128496</v>
      </c>
      <c r="R127" s="22">
        <v>6128496</v>
      </c>
      <c r="S127" s="23">
        <f t="shared" si="7"/>
        <v>0</v>
      </c>
      <c r="T127" s="23"/>
      <c r="U127" s="26">
        <v>43320</v>
      </c>
      <c r="V127" s="26">
        <v>43321</v>
      </c>
      <c r="W127" s="25">
        <v>43381</v>
      </c>
      <c r="X127" s="104">
        <f t="shared" si="8"/>
        <v>59</v>
      </c>
      <c r="Y127" s="25">
        <f t="shared" si="10"/>
        <v>43501</v>
      </c>
      <c r="Z127" s="25" t="s">
        <v>480</v>
      </c>
      <c r="AA127" s="25"/>
      <c r="AB127" s="15" t="s">
        <v>51</v>
      </c>
      <c r="AC127" s="26">
        <v>43564</v>
      </c>
      <c r="AD127" s="26" t="s">
        <v>52</v>
      </c>
      <c r="AE127" s="26" t="s">
        <v>947</v>
      </c>
      <c r="AF127" s="110"/>
      <c r="AG127" s="29" t="s">
        <v>137</v>
      </c>
      <c r="AH127" s="29" t="s">
        <v>928</v>
      </c>
      <c r="AI127" s="29">
        <v>43325</v>
      </c>
      <c r="AJ127" s="28">
        <v>1030525589</v>
      </c>
      <c r="AK127" s="29" t="s">
        <v>322</v>
      </c>
      <c r="AL127" s="29">
        <v>43320</v>
      </c>
      <c r="AM127" s="27" t="s">
        <v>323</v>
      </c>
      <c r="AN127" s="70" t="s">
        <v>948</v>
      </c>
      <c r="AO127" s="61" t="s">
        <v>890</v>
      </c>
      <c r="AP127" s="33">
        <v>0.9</v>
      </c>
      <c r="AQ127" s="80">
        <f>156248400+5515646</f>
        <v>161764046</v>
      </c>
      <c r="AR127" s="32" t="s">
        <v>949</v>
      </c>
      <c r="AS127" s="59" t="s">
        <v>943</v>
      </c>
      <c r="AT127" s="27" t="s">
        <v>950</v>
      </c>
    </row>
    <row r="128" spans="1:46" ht="22.5" x14ac:dyDescent="0.25">
      <c r="A128" s="14" t="s">
        <v>951</v>
      </c>
      <c r="B128" s="15" t="s">
        <v>176</v>
      </c>
      <c r="C128" s="15" t="s">
        <v>952</v>
      </c>
      <c r="D128" s="14" t="s">
        <v>502</v>
      </c>
      <c r="E128" s="15" t="s">
        <v>120</v>
      </c>
      <c r="F128" s="49" t="s">
        <v>953</v>
      </c>
      <c r="G128" s="17">
        <v>830131226</v>
      </c>
      <c r="H128" s="17">
        <v>0</v>
      </c>
      <c r="I128" s="18" t="s">
        <v>954</v>
      </c>
      <c r="J128" s="104" t="s">
        <v>349</v>
      </c>
      <c r="K128" s="15"/>
      <c r="L128" s="26"/>
      <c r="M128" s="55">
        <v>52038144</v>
      </c>
      <c r="N128" s="50">
        <v>134518</v>
      </c>
      <c r="O128" s="50"/>
      <c r="P128" s="21"/>
      <c r="Q128" s="21">
        <f t="shared" si="5"/>
        <v>52038144</v>
      </c>
      <c r="R128" s="55">
        <v>52038144</v>
      </c>
      <c r="S128" s="23">
        <f t="shared" si="7"/>
        <v>0</v>
      </c>
      <c r="T128" s="115"/>
      <c r="U128" s="26">
        <v>43321</v>
      </c>
      <c r="V128" s="26">
        <v>43321</v>
      </c>
      <c r="W128" s="25">
        <v>43327</v>
      </c>
      <c r="X128" s="104">
        <f t="shared" si="8"/>
        <v>6</v>
      </c>
      <c r="Y128" s="25">
        <f t="shared" si="10"/>
        <v>43447</v>
      </c>
      <c r="Z128" s="37"/>
      <c r="AA128" s="37"/>
      <c r="AB128" s="15" t="s">
        <v>51</v>
      </c>
      <c r="AC128" s="26">
        <v>43445</v>
      </c>
      <c r="AD128" s="26" t="s">
        <v>52</v>
      </c>
      <c r="AE128" s="26" t="s">
        <v>632</v>
      </c>
      <c r="AF128" s="110"/>
      <c r="AG128" s="27" t="s">
        <v>137</v>
      </c>
      <c r="AH128" s="29" t="s">
        <v>763</v>
      </c>
      <c r="AI128" s="106">
        <v>43322</v>
      </c>
      <c r="AJ128" s="28">
        <v>52534923</v>
      </c>
      <c r="AK128" s="29" t="s">
        <v>126</v>
      </c>
      <c r="AL128" s="29">
        <v>43322</v>
      </c>
      <c r="AM128" s="31" t="s">
        <v>127</v>
      </c>
      <c r="AN128" s="32" t="s">
        <v>955</v>
      </c>
      <c r="AO128" s="57" t="s">
        <v>305</v>
      </c>
      <c r="AP128" s="107" t="s">
        <v>434</v>
      </c>
      <c r="AQ128" s="108">
        <f>10407628.8+26019072+2601907.2+156248400</f>
        <v>195277008</v>
      </c>
      <c r="AR128" s="32" t="s">
        <v>956</v>
      </c>
      <c r="AS128" s="59" t="s">
        <v>843</v>
      </c>
      <c r="AT128" s="31" t="s">
        <v>957</v>
      </c>
    </row>
    <row r="129" spans="1:46" ht="22.5" x14ac:dyDescent="0.25">
      <c r="A129" s="14" t="s">
        <v>958</v>
      </c>
      <c r="B129" s="15" t="s">
        <v>176</v>
      </c>
      <c r="C129" s="15" t="s">
        <v>959</v>
      </c>
      <c r="D129" s="14" t="s">
        <v>502</v>
      </c>
      <c r="E129" s="15" t="s">
        <v>120</v>
      </c>
      <c r="F129" s="49" t="s">
        <v>960</v>
      </c>
      <c r="G129" s="17">
        <v>900213759</v>
      </c>
      <c r="H129" s="17">
        <v>0</v>
      </c>
      <c r="I129" s="18" t="s">
        <v>961</v>
      </c>
      <c r="J129" s="104" t="s">
        <v>349</v>
      </c>
      <c r="K129" s="15"/>
      <c r="L129" s="26"/>
      <c r="M129" s="55">
        <v>2762208</v>
      </c>
      <c r="N129" s="50">
        <v>134618</v>
      </c>
      <c r="O129" s="50"/>
      <c r="P129" s="48">
        <v>0</v>
      </c>
      <c r="Q129" s="21">
        <f t="shared" si="5"/>
        <v>2762208</v>
      </c>
      <c r="R129" s="55"/>
      <c r="S129" s="23">
        <f t="shared" si="7"/>
        <v>2762208</v>
      </c>
      <c r="T129" s="115"/>
      <c r="U129" s="26">
        <v>43321</v>
      </c>
      <c r="V129" s="26">
        <v>43321</v>
      </c>
      <c r="W129" s="25">
        <v>43327</v>
      </c>
      <c r="X129" s="104">
        <f t="shared" si="8"/>
        <v>6</v>
      </c>
      <c r="Y129" s="25">
        <f t="shared" si="10"/>
        <v>43447</v>
      </c>
      <c r="Z129" s="37"/>
      <c r="AA129" s="37"/>
      <c r="AB129" s="15" t="s">
        <v>51</v>
      </c>
      <c r="AC129" s="25">
        <v>43563</v>
      </c>
      <c r="AD129" s="26"/>
      <c r="AE129" s="26"/>
      <c r="AF129" s="110"/>
      <c r="AG129" s="29" t="s">
        <v>538</v>
      </c>
      <c r="AH129" s="29" t="s">
        <v>763</v>
      </c>
      <c r="AI129" s="106">
        <v>43322</v>
      </c>
      <c r="AJ129" s="28">
        <v>52534923</v>
      </c>
      <c r="AK129" s="29" t="s">
        <v>126</v>
      </c>
      <c r="AL129" s="29">
        <v>43326</v>
      </c>
      <c r="AM129" s="31" t="s">
        <v>692</v>
      </c>
      <c r="AN129" s="32" t="s">
        <v>962</v>
      </c>
      <c r="AO129" s="57" t="s">
        <v>305</v>
      </c>
      <c r="AP129" s="107" t="s">
        <v>434</v>
      </c>
      <c r="AQ129" s="108">
        <f>1381104+552442+13811+156248400</f>
        <v>158195757</v>
      </c>
      <c r="AR129" s="32" t="s">
        <v>963</v>
      </c>
      <c r="AS129" s="59" t="s">
        <v>843</v>
      </c>
      <c r="AT129" s="31" t="s">
        <v>964</v>
      </c>
    </row>
    <row r="130" spans="1:46" ht="22.5" x14ac:dyDescent="0.25">
      <c r="A130" s="14" t="s">
        <v>965</v>
      </c>
      <c r="B130" s="15" t="s">
        <v>176</v>
      </c>
      <c r="C130" s="15" t="s">
        <v>966</v>
      </c>
      <c r="D130" s="14" t="s">
        <v>502</v>
      </c>
      <c r="E130" s="15" t="s">
        <v>120</v>
      </c>
      <c r="F130" s="49" t="s">
        <v>967</v>
      </c>
      <c r="G130" s="17">
        <v>860530698</v>
      </c>
      <c r="H130" s="17">
        <v>4</v>
      </c>
      <c r="I130" s="18" t="s">
        <v>968</v>
      </c>
      <c r="J130" s="104" t="s">
        <v>349</v>
      </c>
      <c r="K130" s="15"/>
      <c r="L130" s="26"/>
      <c r="M130" s="55">
        <v>12254787</v>
      </c>
      <c r="N130" s="50">
        <v>134718</v>
      </c>
      <c r="O130" s="50"/>
      <c r="P130" s="139">
        <v>0</v>
      </c>
      <c r="Q130" s="21">
        <f t="shared" si="5"/>
        <v>12254787</v>
      </c>
      <c r="R130" s="55"/>
      <c r="S130" s="23">
        <f t="shared" si="7"/>
        <v>12254787</v>
      </c>
      <c r="T130" s="115"/>
      <c r="U130" s="26">
        <v>43321</v>
      </c>
      <c r="V130" s="26">
        <v>43321</v>
      </c>
      <c r="W130" s="25">
        <v>43327</v>
      </c>
      <c r="X130" s="104">
        <f t="shared" si="8"/>
        <v>6</v>
      </c>
      <c r="Y130" s="25">
        <f t="shared" si="10"/>
        <v>43447</v>
      </c>
      <c r="Z130" s="37"/>
      <c r="AA130" s="37"/>
      <c r="AB130" s="15" t="s">
        <v>51</v>
      </c>
      <c r="AC130" s="26">
        <v>43496</v>
      </c>
      <c r="AD130" s="26"/>
      <c r="AE130" s="26"/>
      <c r="AF130" s="110"/>
      <c r="AG130" s="29" t="s">
        <v>538</v>
      </c>
      <c r="AH130" s="29" t="s">
        <v>763</v>
      </c>
      <c r="AI130" s="106">
        <v>43322</v>
      </c>
      <c r="AJ130" s="28">
        <v>52534923</v>
      </c>
      <c r="AK130" s="29" t="s">
        <v>126</v>
      </c>
      <c r="AL130" s="29">
        <v>43322</v>
      </c>
      <c r="AM130" s="31" t="s">
        <v>127</v>
      </c>
      <c r="AN130" s="32" t="s">
        <v>969</v>
      </c>
      <c r="AO130" s="57" t="s">
        <v>305</v>
      </c>
      <c r="AP130" s="107" t="s">
        <v>434</v>
      </c>
      <c r="AQ130" s="108">
        <f>2450957.4+6127393.5+612739.35+156248400</f>
        <v>165439490.25</v>
      </c>
      <c r="AR130" s="32" t="s">
        <v>970</v>
      </c>
      <c r="AS130" s="59" t="s">
        <v>843</v>
      </c>
      <c r="AT130" s="31" t="s">
        <v>971</v>
      </c>
    </row>
    <row r="131" spans="1:46" ht="22.5" x14ac:dyDescent="0.25">
      <c r="A131" s="14" t="s">
        <v>972</v>
      </c>
      <c r="B131" s="15" t="s">
        <v>176</v>
      </c>
      <c r="C131" s="15" t="s">
        <v>959</v>
      </c>
      <c r="D131" s="14" t="s">
        <v>502</v>
      </c>
      <c r="E131" s="15" t="s">
        <v>120</v>
      </c>
      <c r="F131" s="49" t="s">
        <v>846</v>
      </c>
      <c r="G131" s="17">
        <v>800239963</v>
      </c>
      <c r="H131" s="17">
        <v>7</v>
      </c>
      <c r="I131" s="18" t="s">
        <v>961</v>
      </c>
      <c r="J131" s="104" t="s">
        <v>349</v>
      </c>
      <c r="K131" s="15"/>
      <c r="L131" s="26"/>
      <c r="M131" s="55">
        <v>13142016</v>
      </c>
      <c r="N131" s="50">
        <v>134818</v>
      </c>
      <c r="O131" s="50"/>
      <c r="P131" s="21"/>
      <c r="Q131" s="21">
        <f t="shared" si="5"/>
        <v>13142016</v>
      </c>
      <c r="R131" s="55"/>
      <c r="S131" s="23">
        <f t="shared" si="7"/>
        <v>13142016</v>
      </c>
      <c r="T131" s="115"/>
      <c r="U131" s="26">
        <v>43321</v>
      </c>
      <c r="V131" s="26">
        <v>43321</v>
      </c>
      <c r="W131" s="25">
        <v>43327</v>
      </c>
      <c r="X131" s="104">
        <f t="shared" si="8"/>
        <v>6</v>
      </c>
      <c r="Y131" s="25">
        <f t="shared" si="10"/>
        <v>43447</v>
      </c>
      <c r="Z131" s="37"/>
      <c r="AA131" s="37"/>
      <c r="AB131" s="15" t="s">
        <v>51</v>
      </c>
      <c r="AC131" s="26">
        <v>43434</v>
      </c>
      <c r="AD131" s="26" t="s">
        <v>52</v>
      </c>
      <c r="AE131" s="26" t="s">
        <v>632</v>
      </c>
      <c r="AF131" s="110"/>
      <c r="AG131" s="29" t="s">
        <v>538</v>
      </c>
      <c r="AH131" s="29" t="s">
        <v>763</v>
      </c>
      <c r="AI131" s="106">
        <v>43322</v>
      </c>
      <c r="AJ131" s="28">
        <v>52534923</v>
      </c>
      <c r="AK131" s="29" t="s">
        <v>126</v>
      </c>
      <c r="AL131" s="29">
        <v>43322</v>
      </c>
      <c r="AM131" s="31" t="s">
        <v>127</v>
      </c>
      <c r="AN131" s="32" t="s">
        <v>973</v>
      </c>
      <c r="AO131" s="57" t="s">
        <v>305</v>
      </c>
      <c r="AP131" s="107" t="s">
        <v>434</v>
      </c>
      <c r="AQ131" s="108">
        <f>2628403.2+6571008+657100.8+156248400</f>
        <v>166104912</v>
      </c>
      <c r="AR131" s="32" t="s">
        <v>974</v>
      </c>
      <c r="AS131" s="59" t="s">
        <v>843</v>
      </c>
      <c r="AT131" s="31" t="s">
        <v>975</v>
      </c>
    </row>
    <row r="132" spans="1:46" ht="22.5" x14ac:dyDescent="0.25">
      <c r="A132" s="14" t="s">
        <v>976</v>
      </c>
      <c r="B132" s="15" t="s">
        <v>45</v>
      </c>
      <c r="C132" s="15" t="s">
        <v>977</v>
      </c>
      <c r="D132" s="14" t="s">
        <v>978</v>
      </c>
      <c r="E132" s="15" t="s">
        <v>794</v>
      </c>
      <c r="F132" s="49" t="s">
        <v>979</v>
      </c>
      <c r="G132" s="140" t="s">
        <v>980</v>
      </c>
      <c r="H132" s="17"/>
      <c r="I132" s="49" t="s">
        <v>981</v>
      </c>
      <c r="J132" s="104" t="s">
        <v>982</v>
      </c>
      <c r="K132" s="15" t="s">
        <v>983</v>
      </c>
      <c r="L132" s="26">
        <v>43373</v>
      </c>
      <c r="M132" s="22">
        <v>7000000</v>
      </c>
      <c r="N132" s="50">
        <v>137218</v>
      </c>
      <c r="O132" s="50"/>
      <c r="P132" s="23">
        <v>0</v>
      </c>
      <c r="Q132" s="21">
        <f t="shared" si="5"/>
        <v>7000000</v>
      </c>
      <c r="R132" s="22">
        <v>7000000</v>
      </c>
      <c r="S132" s="23">
        <f t="shared" si="7"/>
        <v>0</v>
      </c>
      <c r="T132" s="115">
        <v>0</v>
      </c>
      <c r="U132" s="26">
        <v>43321</v>
      </c>
      <c r="V132" s="26">
        <v>43322</v>
      </c>
      <c r="W132" s="25">
        <v>43373</v>
      </c>
      <c r="X132" s="104">
        <f t="shared" si="8"/>
        <v>50</v>
      </c>
      <c r="Y132" s="25">
        <f t="shared" si="10"/>
        <v>43493</v>
      </c>
      <c r="Z132" s="25" t="s">
        <v>480</v>
      </c>
      <c r="AA132" s="25"/>
      <c r="AB132" s="15" t="s">
        <v>51</v>
      </c>
      <c r="AC132" s="26">
        <v>43322</v>
      </c>
      <c r="AD132" s="26" t="s">
        <v>52</v>
      </c>
      <c r="AE132" s="26" t="s">
        <v>53</v>
      </c>
      <c r="AF132" s="110"/>
      <c r="AG132" s="29" t="s">
        <v>538</v>
      </c>
      <c r="AH132" s="29" t="s">
        <v>653</v>
      </c>
      <c r="AI132" s="29">
        <v>43322</v>
      </c>
      <c r="AJ132" s="28">
        <v>74244183</v>
      </c>
      <c r="AK132" s="29" t="s">
        <v>322</v>
      </c>
      <c r="AL132" s="29">
        <v>43322</v>
      </c>
      <c r="AM132" s="27" t="s">
        <v>522</v>
      </c>
      <c r="AN132" s="32" t="s">
        <v>984</v>
      </c>
      <c r="AO132" s="27" t="s">
        <v>129</v>
      </c>
      <c r="AP132" s="33">
        <v>0.1</v>
      </c>
      <c r="AQ132" s="80">
        <v>700000</v>
      </c>
      <c r="AR132" s="32" t="s">
        <v>985</v>
      </c>
      <c r="AS132" s="59" t="s">
        <v>986</v>
      </c>
      <c r="AT132" s="27" t="s">
        <v>987</v>
      </c>
    </row>
    <row r="133" spans="1:46" ht="33.75" x14ac:dyDescent="0.25">
      <c r="A133" s="14" t="s">
        <v>988</v>
      </c>
      <c r="B133" s="15" t="s">
        <v>176</v>
      </c>
      <c r="C133" s="15" t="s">
        <v>989</v>
      </c>
      <c r="D133" s="14" t="s">
        <v>574</v>
      </c>
      <c r="E133" s="15" t="s">
        <v>628</v>
      </c>
      <c r="F133" s="49" t="s">
        <v>990</v>
      </c>
      <c r="G133" s="17">
        <v>900924856</v>
      </c>
      <c r="H133" s="17">
        <v>8</v>
      </c>
      <c r="I133" s="18" t="s">
        <v>991</v>
      </c>
      <c r="J133" s="104" t="s">
        <v>992</v>
      </c>
      <c r="K133" s="15" t="s">
        <v>993</v>
      </c>
      <c r="L133" s="134">
        <v>43347</v>
      </c>
      <c r="M133" s="22">
        <v>6557760</v>
      </c>
      <c r="N133" s="50">
        <v>136618</v>
      </c>
      <c r="O133" s="50"/>
      <c r="P133" s="114">
        <v>0</v>
      </c>
      <c r="Q133" s="21">
        <f t="shared" si="5"/>
        <v>6557760</v>
      </c>
      <c r="R133" s="23">
        <v>0</v>
      </c>
      <c r="S133" s="23">
        <f t="shared" si="7"/>
        <v>6557760</v>
      </c>
      <c r="T133" s="115" t="s">
        <v>480</v>
      </c>
      <c r="U133" s="26">
        <v>43321</v>
      </c>
      <c r="V133" s="26">
        <v>43322</v>
      </c>
      <c r="W133" s="25">
        <v>43327</v>
      </c>
      <c r="X133" s="104">
        <f t="shared" si="8"/>
        <v>5</v>
      </c>
      <c r="Y133" s="25">
        <f t="shared" si="10"/>
        <v>43447</v>
      </c>
      <c r="Z133" s="25" t="s">
        <v>480</v>
      </c>
      <c r="AA133" s="25"/>
      <c r="AB133" s="15" t="s">
        <v>51</v>
      </c>
      <c r="AC133" s="26">
        <v>43549</v>
      </c>
      <c r="AD133" s="26"/>
      <c r="AE133" s="26"/>
      <c r="AF133" s="60"/>
      <c r="AG133" s="29" t="s">
        <v>538</v>
      </c>
      <c r="AH133" s="29" t="s">
        <v>763</v>
      </c>
      <c r="AI133" s="29">
        <v>43327</v>
      </c>
      <c r="AJ133" s="28">
        <v>52534923</v>
      </c>
      <c r="AK133" s="29" t="s">
        <v>126</v>
      </c>
      <c r="AL133" s="29">
        <v>43333</v>
      </c>
      <c r="AM133" s="27" t="s">
        <v>95</v>
      </c>
      <c r="AN133" s="70" t="s">
        <v>994</v>
      </c>
      <c r="AO133" s="27" t="s">
        <v>305</v>
      </c>
      <c r="AP133" s="107" t="s">
        <v>913</v>
      </c>
      <c r="AQ133" s="80" t="s">
        <v>995</v>
      </c>
      <c r="AR133" s="70">
        <v>4000001127</v>
      </c>
      <c r="AS133" s="59" t="s">
        <v>480</v>
      </c>
      <c r="AT133" s="116" t="s">
        <v>791</v>
      </c>
    </row>
    <row r="134" spans="1:46" ht="33.75" x14ac:dyDescent="0.25">
      <c r="A134" s="14" t="s">
        <v>996</v>
      </c>
      <c r="B134" s="15" t="s">
        <v>176</v>
      </c>
      <c r="C134" s="15" t="s">
        <v>997</v>
      </c>
      <c r="D134" s="14" t="s">
        <v>574</v>
      </c>
      <c r="E134" s="15" t="s">
        <v>628</v>
      </c>
      <c r="F134" s="16" t="s">
        <v>953</v>
      </c>
      <c r="G134" s="17">
        <v>830131226</v>
      </c>
      <c r="H134" s="17">
        <v>0</v>
      </c>
      <c r="I134" s="18" t="s">
        <v>998</v>
      </c>
      <c r="J134" s="104" t="s">
        <v>992</v>
      </c>
      <c r="K134" s="15" t="s">
        <v>993</v>
      </c>
      <c r="L134" s="134">
        <v>43348</v>
      </c>
      <c r="M134" s="22">
        <v>27105408</v>
      </c>
      <c r="N134" s="50">
        <v>135018</v>
      </c>
      <c r="O134" s="50"/>
      <c r="P134" s="23">
        <v>0</v>
      </c>
      <c r="Q134" s="21">
        <f t="shared" si="5"/>
        <v>27105408</v>
      </c>
      <c r="R134" s="23">
        <v>0</v>
      </c>
      <c r="S134" s="23">
        <f t="shared" si="7"/>
        <v>27105408</v>
      </c>
      <c r="T134" s="115" t="s">
        <v>480</v>
      </c>
      <c r="U134" s="26">
        <v>43321</v>
      </c>
      <c r="V134" s="26">
        <v>43322</v>
      </c>
      <c r="W134" s="25">
        <v>43327</v>
      </c>
      <c r="X134" s="104">
        <f t="shared" si="8"/>
        <v>5</v>
      </c>
      <c r="Y134" s="25">
        <f t="shared" si="10"/>
        <v>43447</v>
      </c>
      <c r="Z134" s="25" t="s">
        <v>480</v>
      </c>
      <c r="AA134" s="25"/>
      <c r="AB134" s="15" t="s">
        <v>51</v>
      </c>
      <c r="AC134" s="26">
        <v>43445</v>
      </c>
      <c r="AD134" s="26" t="s">
        <v>52</v>
      </c>
      <c r="AE134" s="26" t="s">
        <v>632</v>
      </c>
      <c r="AF134" s="60"/>
      <c r="AG134" s="29" t="s">
        <v>538</v>
      </c>
      <c r="AH134" s="29" t="s">
        <v>763</v>
      </c>
      <c r="AI134" s="29">
        <v>43327</v>
      </c>
      <c r="AJ134" s="28">
        <v>52534923</v>
      </c>
      <c r="AK134" s="29" t="s">
        <v>126</v>
      </c>
      <c r="AL134" s="29">
        <v>43322</v>
      </c>
      <c r="AM134" s="27" t="s">
        <v>95</v>
      </c>
      <c r="AN134" s="70" t="s">
        <v>999</v>
      </c>
      <c r="AO134" s="27" t="s">
        <v>305</v>
      </c>
      <c r="AP134" s="107" t="s">
        <v>913</v>
      </c>
      <c r="AQ134" s="80" t="s">
        <v>1000</v>
      </c>
      <c r="AR134" s="70">
        <v>4000001121</v>
      </c>
      <c r="AS134" s="59" t="s">
        <v>480</v>
      </c>
      <c r="AT134" s="116">
        <v>20186030239983</v>
      </c>
    </row>
    <row r="135" spans="1:46" ht="22.5" x14ac:dyDescent="0.25">
      <c r="A135" s="14" t="s">
        <v>1001</v>
      </c>
      <c r="B135" s="15" t="s">
        <v>176</v>
      </c>
      <c r="C135" s="15" t="s">
        <v>1002</v>
      </c>
      <c r="D135" s="14" t="s">
        <v>574</v>
      </c>
      <c r="E135" s="15" t="s">
        <v>280</v>
      </c>
      <c r="F135" s="16" t="s">
        <v>1003</v>
      </c>
      <c r="G135" s="17">
        <v>860504860</v>
      </c>
      <c r="H135" s="17">
        <v>1</v>
      </c>
      <c r="I135" s="18" t="s">
        <v>1004</v>
      </c>
      <c r="J135" s="104" t="s">
        <v>992</v>
      </c>
      <c r="K135" s="15" t="s">
        <v>993</v>
      </c>
      <c r="L135" s="134">
        <v>43349</v>
      </c>
      <c r="M135" s="22">
        <v>62865000</v>
      </c>
      <c r="N135" s="50">
        <v>137318</v>
      </c>
      <c r="O135" s="50"/>
      <c r="P135" s="114">
        <v>0</v>
      </c>
      <c r="Q135" s="21">
        <f t="shared" si="5"/>
        <v>62865000</v>
      </c>
      <c r="R135" s="23">
        <v>0</v>
      </c>
      <c r="S135" s="23">
        <f t="shared" si="7"/>
        <v>62865000</v>
      </c>
      <c r="T135" s="115" t="s">
        <v>480</v>
      </c>
      <c r="U135" s="26">
        <v>43321</v>
      </c>
      <c r="V135" s="26">
        <v>43321</v>
      </c>
      <c r="W135" s="25">
        <v>43327</v>
      </c>
      <c r="X135" s="104">
        <f t="shared" si="8"/>
        <v>6</v>
      </c>
      <c r="Y135" s="25">
        <f t="shared" si="10"/>
        <v>43447</v>
      </c>
      <c r="Z135" s="25" t="s">
        <v>480</v>
      </c>
      <c r="AA135" s="25"/>
      <c r="AB135" s="15" t="s">
        <v>51</v>
      </c>
      <c r="AC135" s="26">
        <v>43518</v>
      </c>
      <c r="AD135" s="26"/>
      <c r="AE135" s="26"/>
      <c r="AF135" s="60"/>
      <c r="AG135" s="29" t="s">
        <v>538</v>
      </c>
      <c r="AH135" s="29" t="s">
        <v>763</v>
      </c>
      <c r="AI135" s="29">
        <v>43327</v>
      </c>
      <c r="AJ135" s="28">
        <v>52534923</v>
      </c>
      <c r="AK135" s="29" t="s">
        <v>126</v>
      </c>
      <c r="AL135" s="29">
        <v>43322</v>
      </c>
      <c r="AM135" s="27" t="s">
        <v>1005</v>
      </c>
      <c r="AN135" s="70" t="s">
        <v>1006</v>
      </c>
      <c r="AO135" s="27" t="s">
        <v>305</v>
      </c>
      <c r="AP135" s="107" t="s">
        <v>913</v>
      </c>
      <c r="AQ135" s="80" t="s">
        <v>1007</v>
      </c>
      <c r="AR135" s="70">
        <v>4000001122</v>
      </c>
      <c r="AS135" s="59" t="s">
        <v>480</v>
      </c>
      <c r="AT135" s="116">
        <v>20186030240273</v>
      </c>
    </row>
    <row r="136" spans="1:46" ht="22.5" x14ac:dyDescent="0.25">
      <c r="A136" s="14" t="s">
        <v>1008</v>
      </c>
      <c r="B136" s="15" t="s">
        <v>176</v>
      </c>
      <c r="C136" s="15" t="s">
        <v>1002</v>
      </c>
      <c r="D136" s="14" t="s">
        <v>574</v>
      </c>
      <c r="E136" s="15" t="s">
        <v>280</v>
      </c>
      <c r="F136" s="16" t="s">
        <v>1003</v>
      </c>
      <c r="G136" s="17">
        <v>860504860</v>
      </c>
      <c r="H136" s="17">
        <v>1</v>
      </c>
      <c r="I136" s="18" t="s">
        <v>1004</v>
      </c>
      <c r="J136" s="104" t="s">
        <v>992</v>
      </c>
      <c r="K136" s="15" t="s">
        <v>993</v>
      </c>
      <c r="L136" s="134">
        <v>43350</v>
      </c>
      <c r="M136" s="22">
        <v>0</v>
      </c>
      <c r="N136" s="50">
        <v>137318</v>
      </c>
      <c r="O136" s="50"/>
      <c r="P136" s="22">
        <v>12847320</v>
      </c>
      <c r="Q136" s="21">
        <f t="shared" si="5"/>
        <v>12847320</v>
      </c>
      <c r="R136" s="23">
        <v>0</v>
      </c>
      <c r="S136" s="23">
        <f t="shared" si="7"/>
        <v>12847320</v>
      </c>
      <c r="T136" s="115" t="s">
        <v>480</v>
      </c>
      <c r="U136" s="26">
        <v>43327</v>
      </c>
      <c r="V136" s="26">
        <v>43321</v>
      </c>
      <c r="W136" s="25">
        <v>43333</v>
      </c>
      <c r="X136" s="25"/>
      <c r="Y136" s="25">
        <v>43450</v>
      </c>
      <c r="Z136" s="25">
        <v>43333</v>
      </c>
      <c r="AA136" s="25"/>
      <c r="AB136" s="15" t="s">
        <v>51</v>
      </c>
      <c r="AC136" s="26">
        <v>43518</v>
      </c>
      <c r="AD136" s="26"/>
      <c r="AE136" s="26"/>
      <c r="AF136" s="60"/>
      <c r="AG136" s="29" t="s">
        <v>538</v>
      </c>
      <c r="AH136" s="29" t="s">
        <v>763</v>
      </c>
      <c r="AI136" s="29">
        <v>43327</v>
      </c>
      <c r="AJ136" s="28">
        <v>52534923</v>
      </c>
      <c r="AK136" s="29" t="s">
        <v>126</v>
      </c>
      <c r="AL136" s="29">
        <v>43336</v>
      </c>
      <c r="AM136" s="27" t="s">
        <v>1009</v>
      </c>
      <c r="AN136" s="70" t="s">
        <v>1010</v>
      </c>
      <c r="AO136" s="27" t="s">
        <v>352</v>
      </c>
      <c r="AP136" s="107" t="s">
        <v>913</v>
      </c>
      <c r="AQ136" s="80" t="s">
        <v>1011</v>
      </c>
      <c r="AR136" s="70">
        <v>4200003390</v>
      </c>
      <c r="AS136" s="59" t="s">
        <v>480</v>
      </c>
      <c r="AT136" s="116" t="s">
        <v>791</v>
      </c>
    </row>
    <row r="137" spans="1:46" ht="22.5" x14ac:dyDescent="0.25">
      <c r="A137" s="14" t="s">
        <v>1012</v>
      </c>
      <c r="B137" s="15" t="s">
        <v>176</v>
      </c>
      <c r="C137" s="15" t="s">
        <v>1013</v>
      </c>
      <c r="D137" s="14" t="s">
        <v>574</v>
      </c>
      <c r="E137" s="15" t="s">
        <v>794</v>
      </c>
      <c r="F137" s="16" t="s">
        <v>953</v>
      </c>
      <c r="G137" s="17" t="s">
        <v>1014</v>
      </c>
      <c r="H137" s="17">
        <v>0</v>
      </c>
      <c r="I137" s="49" t="s">
        <v>1015</v>
      </c>
      <c r="J137" s="104" t="s">
        <v>1016</v>
      </c>
      <c r="K137" s="15" t="s">
        <v>993</v>
      </c>
      <c r="L137" s="26">
        <v>43358</v>
      </c>
      <c r="M137" s="22">
        <v>48288960</v>
      </c>
      <c r="N137" s="50">
        <v>135118</v>
      </c>
      <c r="O137" s="50"/>
      <c r="P137" s="23">
        <v>0</v>
      </c>
      <c r="Q137" s="21">
        <f t="shared" si="5"/>
        <v>48288960</v>
      </c>
      <c r="R137" s="22">
        <v>48288960</v>
      </c>
      <c r="S137" s="23">
        <f t="shared" si="7"/>
        <v>0</v>
      </c>
      <c r="T137" s="115">
        <v>0</v>
      </c>
      <c r="U137" s="26">
        <v>43321</v>
      </c>
      <c r="V137" s="26">
        <v>43321</v>
      </c>
      <c r="W137" s="25">
        <v>43327</v>
      </c>
      <c r="X137" s="104">
        <f t="shared" ref="X137:X196" si="11">DAYS360(V137,W137)</f>
        <v>6</v>
      </c>
      <c r="Y137" s="25">
        <f t="shared" ref="Y137:Y157" si="12">+W137+120</f>
        <v>43447</v>
      </c>
      <c r="Z137" s="25" t="s">
        <v>480</v>
      </c>
      <c r="AA137" s="25"/>
      <c r="AB137" s="15" t="s">
        <v>51</v>
      </c>
      <c r="AC137" s="26">
        <v>43445</v>
      </c>
      <c r="AD137" s="26" t="s">
        <v>52</v>
      </c>
      <c r="AE137" s="26" t="s">
        <v>52</v>
      </c>
      <c r="AF137" s="110"/>
      <c r="AG137" s="29" t="s">
        <v>538</v>
      </c>
      <c r="AH137" s="29" t="s">
        <v>763</v>
      </c>
      <c r="AI137" s="29">
        <v>43322</v>
      </c>
      <c r="AJ137" s="28">
        <v>52534923</v>
      </c>
      <c r="AK137" s="29" t="s">
        <v>322</v>
      </c>
      <c r="AL137" s="29">
        <v>43322</v>
      </c>
      <c r="AM137" s="27" t="s">
        <v>323</v>
      </c>
      <c r="AN137" s="70" t="s">
        <v>1017</v>
      </c>
      <c r="AO137" s="27" t="s">
        <v>1018</v>
      </c>
      <c r="AP137" s="33">
        <v>0.75</v>
      </c>
      <c r="AQ137" s="80">
        <f>36216720+156248400</f>
        <v>192465120</v>
      </c>
      <c r="AR137" s="32" t="s">
        <v>1019</v>
      </c>
      <c r="AS137" s="59" t="s">
        <v>1020</v>
      </c>
      <c r="AT137" s="27" t="s">
        <v>1021</v>
      </c>
    </row>
    <row r="138" spans="1:46" ht="33.75" x14ac:dyDescent="0.25">
      <c r="A138" s="14" t="s">
        <v>1022</v>
      </c>
      <c r="B138" s="15" t="s">
        <v>176</v>
      </c>
      <c r="C138" s="15" t="s">
        <v>1023</v>
      </c>
      <c r="D138" s="14" t="s">
        <v>574</v>
      </c>
      <c r="E138" s="15" t="s">
        <v>794</v>
      </c>
      <c r="F138" s="16" t="s">
        <v>953</v>
      </c>
      <c r="G138" s="17" t="s">
        <v>1014</v>
      </c>
      <c r="H138" s="17">
        <v>0</v>
      </c>
      <c r="I138" s="49" t="s">
        <v>1024</v>
      </c>
      <c r="J138" s="104" t="s">
        <v>1016</v>
      </c>
      <c r="K138" s="15" t="s">
        <v>993</v>
      </c>
      <c r="L138" s="26">
        <v>43358</v>
      </c>
      <c r="M138" s="22">
        <v>24243840</v>
      </c>
      <c r="N138" s="50">
        <v>135218</v>
      </c>
      <c r="O138" s="50"/>
      <c r="P138" s="23">
        <v>0</v>
      </c>
      <c r="Q138" s="21">
        <f t="shared" si="5"/>
        <v>24243840</v>
      </c>
      <c r="R138" s="22">
        <v>24243838</v>
      </c>
      <c r="S138" s="23">
        <f t="shared" si="7"/>
        <v>2</v>
      </c>
      <c r="T138" s="23">
        <v>2</v>
      </c>
      <c r="U138" s="26">
        <v>43321</v>
      </c>
      <c r="V138" s="26">
        <v>43321</v>
      </c>
      <c r="W138" s="25">
        <v>43327</v>
      </c>
      <c r="X138" s="104">
        <f t="shared" si="11"/>
        <v>6</v>
      </c>
      <c r="Y138" s="25">
        <f t="shared" si="12"/>
        <v>43447</v>
      </c>
      <c r="Z138" s="25" t="s">
        <v>480</v>
      </c>
      <c r="AA138" s="25"/>
      <c r="AB138" s="15" t="s">
        <v>51</v>
      </c>
      <c r="AC138" s="26">
        <v>43445</v>
      </c>
      <c r="AD138" s="26" t="s">
        <v>52</v>
      </c>
      <c r="AE138" s="26" t="s">
        <v>52</v>
      </c>
      <c r="AF138" s="110"/>
      <c r="AG138" s="29" t="s">
        <v>538</v>
      </c>
      <c r="AH138" s="29" t="s">
        <v>763</v>
      </c>
      <c r="AI138" s="29">
        <v>43322</v>
      </c>
      <c r="AJ138" s="28">
        <v>52534923</v>
      </c>
      <c r="AK138" s="70" t="s">
        <v>322</v>
      </c>
      <c r="AL138" s="29">
        <v>43322</v>
      </c>
      <c r="AM138" s="27" t="s">
        <v>323</v>
      </c>
      <c r="AN138" s="70" t="s">
        <v>1025</v>
      </c>
      <c r="AO138" s="27" t="s">
        <v>1018</v>
      </c>
      <c r="AP138" s="33">
        <v>0.75</v>
      </c>
      <c r="AQ138" s="80">
        <f>18182880+156248400</f>
        <v>174431280</v>
      </c>
      <c r="AR138" s="32" t="s">
        <v>1026</v>
      </c>
      <c r="AS138" s="59" t="s">
        <v>1027</v>
      </c>
      <c r="AT138" s="27" t="s">
        <v>1028</v>
      </c>
    </row>
    <row r="139" spans="1:46" ht="22.5" x14ac:dyDescent="0.25">
      <c r="A139" s="14" t="s">
        <v>1029</v>
      </c>
      <c r="B139" s="15" t="s">
        <v>176</v>
      </c>
      <c r="C139" s="15" t="s">
        <v>1023</v>
      </c>
      <c r="D139" s="14" t="s">
        <v>574</v>
      </c>
      <c r="E139" s="15" t="s">
        <v>794</v>
      </c>
      <c r="F139" s="16" t="s">
        <v>1003</v>
      </c>
      <c r="G139" s="17">
        <v>860504860</v>
      </c>
      <c r="H139" s="17">
        <v>1</v>
      </c>
      <c r="I139" s="49" t="s">
        <v>1030</v>
      </c>
      <c r="J139" s="104" t="s">
        <v>1016</v>
      </c>
      <c r="K139" s="15" t="s">
        <v>993</v>
      </c>
      <c r="L139" s="26">
        <v>43358</v>
      </c>
      <c r="M139" s="22">
        <v>23965632</v>
      </c>
      <c r="N139" s="50">
        <v>135318</v>
      </c>
      <c r="O139" s="50"/>
      <c r="P139" s="15"/>
      <c r="Q139" s="21">
        <f>M139</f>
        <v>23965632</v>
      </c>
      <c r="R139" s="23">
        <v>23965632</v>
      </c>
      <c r="S139" s="23">
        <f>+M139-R139</f>
        <v>0</v>
      </c>
      <c r="T139" s="115">
        <v>0</v>
      </c>
      <c r="U139" s="26">
        <v>43321</v>
      </c>
      <c r="V139" s="26">
        <v>43321</v>
      </c>
      <c r="W139" s="25">
        <v>43327</v>
      </c>
      <c r="X139" s="104">
        <f t="shared" si="11"/>
        <v>6</v>
      </c>
      <c r="Y139" s="25">
        <f t="shared" si="12"/>
        <v>43447</v>
      </c>
      <c r="Z139" s="25" t="s">
        <v>480</v>
      </c>
      <c r="AA139" s="25"/>
      <c r="AB139" s="15" t="s">
        <v>51</v>
      </c>
      <c r="AC139" s="26">
        <v>43445</v>
      </c>
      <c r="AD139" s="26" t="s">
        <v>52</v>
      </c>
      <c r="AE139" s="26" t="s">
        <v>1031</v>
      </c>
      <c r="AF139" s="110"/>
      <c r="AG139" s="29" t="s">
        <v>538</v>
      </c>
      <c r="AH139" s="29" t="s">
        <v>763</v>
      </c>
      <c r="AI139" s="29">
        <v>43322</v>
      </c>
      <c r="AJ139" s="28">
        <v>52534923</v>
      </c>
      <c r="AK139" s="70" t="s">
        <v>322</v>
      </c>
      <c r="AL139" s="29">
        <v>43327</v>
      </c>
      <c r="AM139" s="27" t="s">
        <v>1032</v>
      </c>
      <c r="AN139" s="70" t="s">
        <v>1033</v>
      </c>
      <c r="AO139" s="27" t="s">
        <v>1018</v>
      </c>
      <c r="AP139" s="107">
        <v>0.75</v>
      </c>
      <c r="AQ139" s="141">
        <f>17974224+156248400</f>
        <v>174222624</v>
      </c>
      <c r="AR139" s="32">
        <v>4000001124</v>
      </c>
      <c r="AS139" s="59" t="s">
        <v>1020</v>
      </c>
      <c r="AT139" s="27" t="s">
        <v>1034</v>
      </c>
    </row>
    <row r="140" spans="1:46" ht="22.5" x14ac:dyDescent="0.25">
      <c r="A140" s="14" t="s">
        <v>1035</v>
      </c>
      <c r="B140" s="15" t="s">
        <v>176</v>
      </c>
      <c r="C140" s="15" t="s">
        <v>1036</v>
      </c>
      <c r="D140" s="14" t="s">
        <v>1037</v>
      </c>
      <c r="E140" s="15" t="s">
        <v>794</v>
      </c>
      <c r="F140" s="16" t="s">
        <v>953</v>
      </c>
      <c r="G140" s="17" t="s">
        <v>1038</v>
      </c>
      <c r="H140" s="17"/>
      <c r="I140" s="49" t="s">
        <v>1039</v>
      </c>
      <c r="J140" s="104" t="s">
        <v>1016</v>
      </c>
      <c r="K140" s="15" t="s">
        <v>993</v>
      </c>
      <c r="L140" s="26">
        <v>43358</v>
      </c>
      <c r="M140" s="22">
        <v>51958656</v>
      </c>
      <c r="N140" s="50">
        <v>135418</v>
      </c>
      <c r="O140" s="50"/>
      <c r="P140" s="23">
        <v>0</v>
      </c>
      <c r="Q140" s="21">
        <f t="shared" si="5"/>
        <v>51958656</v>
      </c>
      <c r="R140" s="21">
        <v>51958656</v>
      </c>
      <c r="S140" s="23">
        <f>Q140-R140</f>
        <v>0</v>
      </c>
      <c r="T140" s="115">
        <v>0</v>
      </c>
      <c r="U140" s="26">
        <v>43321</v>
      </c>
      <c r="V140" s="26">
        <v>43321</v>
      </c>
      <c r="W140" s="25">
        <v>43327</v>
      </c>
      <c r="X140" s="104">
        <f t="shared" si="11"/>
        <v>6</v>
      </c>
      <c r="Y140" s="25">
        <f t="shared" si="12"/>
        <v>43447</v>
      </c>
      <c r="Z140" s="25" t="s">
        <v>480</v>
      </c>
      <c r="AA140" s="25"/>
      <c r="AB140" s="15" t="s">
        <v>51</v>
      </c>
      <c r="AC140" s="26">
        <v>43445</v>
      </c>
      <c r="AD140" s="26" t="s">
        <v>52</v>
      </c>
      <c r="AE140" s="26" t="s">
        <v>1031</v>
      </c>
      <c r="AF140" s="110"/>
      <c r="AG140" s="29" t="s">
        <v>538</v>
      </c>
      <c r="AH140" s="29" t="s">
        <v>763</v>
      </c>
      <c r="AI140" s="29">
        <v>43322</v>
      </c>
      <c r="AJ140" s="28">
        <v>52534923</v>
      </c>
      <c r="AK140" s="29" t="s">
        <v>322</v>
      </c>
      <c r="AL140" s="29">
        <v>43322</v>
      </c>
      <c r="AM140" s="27" t="s">
        <v>323</v>
      </c>
      <c r="AN140" s="70" t="s">
        <v>1040</v>
      </c>
      <c r="AO140" s="27" t="s">
        <v>1018</v>
      </c>
      <c r="AP140" s="33">
        <v>0.75</v>
      </c>
      <c r="AQ140" s="80">
        <f>38968992+156248400</f>
        <v>195217392</v>
      </c>
      <c r="AR140" s="32" t="s">
        <v>1041</v>
      </c>
      <c r="AS140" s="59" t="s">
        <v>1020</v>
      </c>
      <c r="AT140" s="27" t="s">
        <v>1042</v>
      </c>
    </row>
    <row r="141" spans="1:46" ht="33.75" x14ac:dyDescent="0.25">
      <c r="A141" s="14" t="s">
        <v>1043</v>
      </c>
      <c r="B141" s="15" t="s">
        <v>176</v>
      </c>
      <c r="C141" s="15" t="s">
        <v>1044</v>
      </c>
      <c r="D141" s="15" t="s">
        <v>196</v>
      </c>
      <c r="E141" s="15" t="s">
        <v>628</v>
      </c>
      <c r="F141" s="16" t="s">
        <v>1045</v>
      </c>
      <c r="G141" s="17" t="s">
        <v>1046</v>
      </c>
      <c r="H141" s="17"/>
      <c r="I141" s="18" t="s">
        <v>1047</v>
      </c>
      <c r="J141" s="104" t="s">
        <v>480</v>
      </c>
      <c r="K141" s="15" t="s">
        <v>480</v>
      </c>
      <c r="L141" s="134" t="s">
        <v>480</v>
      </c>
      <c r="M141" s="22">
        <v>6000000</v>
      </c>
      <c r="N141" s="50">
        <v>137118</v>
      </c>
      <c r="O141" s="50"/>
      <c r="P141" s="51">
        <v>0</v>
      </c>
      <c r="Q141" s="21">
        <f t="shared" si="5"/>
        <v>6000000</v>
      </c>
      <c r="R141" s="23">
        <v>0</v>
      </c>
      <c r="S141" s="23">
        <f t="shared" si="7"/>
        <v>6000000</v>
      </c>
      <c r="T141" s="115" t="s">
        <v>480</v>
      </c>
      <c r="U141" s="26">
        <v>43322</v>
      </c>
      <c r="V141" s="26">
        <v>43347</v>
      </c>
      <c r="W141" s="25">
        <v>43449</v>
      </c>
      <c r="X141" s="104">
        <f t="shared" si="11"/>
        <v>101</v>
      </c>
      <c r="Y141" s="25">
        <f t="shared" si="12"/>
        <v>43569</v>
      </c>
      <c r="Z141" s="25" t="s">
        <v>480</v>
      </c>
      <c r="AA141" s="25"/>
      <c r="AB141" s="15" t="s">
        <v>51</v>
      </c>
      <c r="AC141" s="26">
        <v>43580</v>
      </c>
      <c r="AD141" s="26"/>
      <c r="AE141" s="26" t="s">
        <v>1031</v>
      </c>
      <c r="AF141" s="60"/>
      <c r="AG141" s="29" t="s">
        <v>538</v>
      </c>
      <c r="AH141" s="29" t="s">
        <v>384</v>
      </c>
      <c r="AI141" s="29">
        <v>43346</v>
      </c>
      <c r="AJ141" s="28">
        <v>53114465</v>
      </c>
      <c r="AK141" s="29" t="s">
        <v>126</v>
      </c>
      <c r="AL141" s="29">
        <v>43341</v>
      </c>
      <c r="AM141" s="27" t="s">
        <v>95</v>
      </c>
      <c r="AN141" s="70" t="s">
        <v>1048</v>
      </c>
      <c r="AO141" s="27" t="s">
        <v>305</v>
      </c>
      <c r="AP141" s="107" t="s">
        <v>1049</v>
      </c>
      <c r="AQ141" s="80" t="s">
        <v>995</v>
      </c>
      <c r="AR141" s="70">
        <v>5200000067</v>
      </c>
      <c r="AS141" s="59" t="s">
        <v>480</v>
      </c>
      <c r="AT141" s="116">
        <v>20186030240353</v>
      </c>
    </row>
    <row r="142" spans="1:46" ht="33.75" x14ac:dyDescent="0.25">
      <c r="A142" s="14" t="s">
        <v>1050</v>
      </c>
      <c r="B142" s="15" t="s">
        <v>176</v>
      </c>
      <c r="C142" s="15" t="s">
        <v>1051</v>
      </c>
      <c r="D142" s="14" t="s">
        <v>574</v>
      </c>
      <c r="E142" s="15" t="s">
        <v>628</v>
      </c>
      <c r="F142" s="49" t="s">
        <v>1052</v>
      </c>
      <c r="G142" s="17" t="s">
        <v>1053</v>
      </c>
      <c r="H142" s="17"/>
      <c r="I142" s="18" t="s">
        <v>1054</v>
      </c>
      <c r="J142" s="104" t="s">
        <v>480</v>
      </c>
      <c r="K142" s="15" t="s">
        <v>480</v>
      </c>
      <c r="L142" s="134" t="s">
        <v>480</v>
      </c>
      <c r="M142" s="22">
        <v>16705000</v>
      </c>
      <c r="N142" s="50">
        <v>137018</v>
      </c>
      <c r="O142" s="50"/>
      <c r="P142" s="51">
        <v>0</v>
      </c>
      <c r="Q142" s="21">
        <f t="shared" si="5"/>
        <v>16705000</v>
      </c>
      <c r="R142" s="23">
        <v>0</v>
      </c>
      <c r="S142" s="23">
        <f t="shared" si="7"/>
        <v>16705000</v>
      </c>
      <c r="T142" s="115" t="s">
        <v>480</v>
      </c>
      <c r="U142" s="26">
        <v>43327</v>
      </c>
      <c r="V142" s="26">
        <v>43335</v>
      </c>
      <c r="W142" s="25">
        <v>43385</v>
      </c>
      <c r="X142" s="104">
        <f t="shared" si="11"/>
        <v>49</v>
      </c>
      <c r="Y142" s="25">
        <f t="shared" si="12"/>
        <v>43505</v>
      </c>
      <c r="Z142" s="25" t="s">
        <v>480</v>
      </c>
      <c r="AA142" s="25"/>
      <c r="AB142" s="15" t="s">
        <v>51</v>
      </c>
      <c r="AC142" s="26">
        <v>43559</v>
      </c>
      <c r="AD142" s="26" t="s">
        <v>52</v>
      </c>
      <c r="AE142" s="26" t="s">
        <v>1031</v>
      </c>
      <c r="AF142" s="60"/>
      <c r="AG142" s="29" t="s">
        <v>538</v>
      </c>
      <c r="AH142" s="29" t="s">
        <v>1055</v>
      </c>
      <c r="AI142" s="29">
        <v>43327</v>
      </c>
      <c r="AJ142" s="28" t="s">
        <v>1056</v>
      </c>
      <c r="AK142" s="29" t="s">
        <v>126</v>
      </c>
      <c r="AL142" s="29">
        <v>43327</v>
      </c>
      <c r="AM142" s="27" t="s">
        <v>95</v>
      </c>
      <c r="AN142" s="70" t="s">
        <v>1057</v>
      </c>
      <c r="AO142" s="27" t="s">
        <v>305</v>
      </c>
      <c r="AP142" s="107" t="s">
        <v>913</v>
      </c>
      <c r="AQ142" s="80" t="s">
        <v>1058</v>
      </c>
      <c r="AR142" s="70">
        <v>4300001475</v>
      </c>
      <c r="AS142" s="59" t="s">
        <v>480</v>
      </c>
      <c r="AT142" s="116">
        <v>20186030240363</v>
      </c>
    </row>
    <row r="143" spans="1:46" ht="45" x14ac:dyDescent="0.25">
      <c r="A143" s="14" t="s">
        <v>1059</v>
      </c>
      <c r="B143" s="15" t="s">
        <v>45</v>
      </c>
      <c r="C143" s="15" t="s">
        <v>1060</v>
      </c>
      <c r="D143" s="15" t="s">
        <v>196</v>
      </c>
      <c r="E143" s="15" t="s">
        <v>48</v>
      </c>
      <c r="F143" s="49" t="s">
        <v>1061</v>
      </c>
      <c r="G143" s="17" t="s">
        <v>1062</v>
      </c>
      <c r="H143" s="17"/>
      <c r="I143" s="18" t="s">
        <v>1063</v>
      </c>
      <c r="J143" s="15"/>
      <c r="K143" s="134"/>
      <c r="L143" s="26"/>
      <c r="M143" s="55">
        <v>75000000</v>
      </c>
      <c r="N143" s="50">
        <v>144818</v>
      </c>
      <c r="O143" s="50"/>
      <c r="P143" s="51">
        <v>35000000</v>
      </c>
      <c r="Q143" s="21">
        <f t="shared" si="5"/>
        <v>110000000</v>
      </c>
      <c r="R143" s="22"/>
      <c r="S143" s="23">
        <f t="shared" si="7"/>
        <v>110000000</v>
      </c>
      <c r="T143" s="115"/>
      <c r="U143" s="25">
        <v>43341</v>
      </c>
      <c r="V143" s="25">
        <v>43341</v>
      </c>
      <c r="W143" s="25">
        <v>43464</v>
      </c>
      <c r="X143" s="104">
        <f t="shared" si="11"/>
        <v>121</v>
      </c>
      <c r="Y143" s="25">
        <f t="shared" si="12"/>
        <v>43584</v>
      </c>
      <c r="Z143" s="26"/>
      <c r="AA143" s="26"/>
      <c r="AB143" s="15" t="s">
        <v>51</v>
      </c>
      <c r="AC143" s="60">
        <v>43559</v>
      </c>
      <c r="AD143" s="26" t="s">
        <v>52</v>
      </c>
      <c r="AE143" s="26" t="s">
        <v>1064</v>
      </c>
      <c r="AF143" s="26"/>
      <c r="AG143" s="29" t="s">
        <v>156</v>
      </c>
      <c r="AH143" s="29" t="s">
        <v>1065</v>
      </c>
      <c r="AI143" s="29">
        <v>43347</v>
      </c>
      <c r="AJ143" s="28">
        <v>1015398110</v>
      </c>
      <c r="AK143" s="31"/>
      <c r="AL143" s="29"/>
      <c r="AM143" s="31"/>
      <c r="AN143" s="32"/>
      <c r="AO143" s="61"/>
      <c r="AP143" s="107"/>
      <c r="AQ143" s="28"/>
      <c r="AR143" s="70" t="s">
        <v>1066</v>
      </c>
      <c r="AS143" s="59"/>
      <c r="AT143" s="31"/>
    </row>
    <row r="144" spans="1:46" ht="33.75" x14ac:dyDescent="0.25">
      <c r="A144" s="14" t="s">
        <v>1067</v>
      </c>
      <c r="B144" s="15" t="s">
        <v>45</v>
      </c>
      <c r="C144" s="15" t="s">
        <v>1068</v>
      </c>
      <c r="D144" s="15" t="s">
        <v>196</v>
      </c>
      <c r="E144" s="15" t="s">
        <v>48</v>
      </c>
      <c r="F144" s="49" t="s">
        <v>1069</v>
      </c>
      <c r="G144" s="17" t="s">
        <v>1070</v>
      </c>
      <c r="H144" s="17"/>
      <c r="I144" s="18" t="s">
        <v>1071</v>
      </c>
      <c r="J144" s="15"/>
      <c r="K144" s="134"/>
      <c r="L144" s="26"/>
      <c r="M144" s="55">
        <v>19000000</v>
      </c>
      <c r="N144" s="50"/>
      <c r="O144" s="50"/>
      <c r="P144" s="51">
        <v>0</v>
      </c>
      <c r="Q144" s="21">
        <f t="shared" ref="Q144:Q179" si="13">M144+P144</f>
        <v>19000000</v>
      </c>
      <c r="R144" s="22"/>
      <c r="S144" s="23">
        <f t="shared" si="7"/>
        <v>19000000</v>
      </c>
      <c r="T144" s="115"/>
      <c r="U144" s="25">
        <v>43347</v>
      </c>
      <c r="V144" s="25">
        <v>43347</v>
      </c>
      <c r="W144" s="25">
        <v>43464</v>
      </c>
      <c r="X144" s="104">
        <f t="shared" si="11"/>
        <v>116</v>
      </c>
      <c r="Y144" s="25">
        <f t="shared" si="12"/>
        <v>43584</v>
      </c>
      <c r="Z144" s="26"/>
      <c r="AA144" s="26"/>
      <c r="AB144" s="15" t="s">
        <v>51</v>
      </c>
      <c r="AC144" s="26">
        <v>43770</v>
      </c>
      <c r="AD144" s="26"/>
      <c r="AE144" s="26" t="s">
        <v>1072</v>
      </c>
      <c r="AF144" s="26"/>
      <c r="AG144" s="29" t="s">
        <v>156</v>
      </c>
      <c r="AH144" s="29" t="s">
        <v>797</v>
      </c>
      <c r="AI144" s="29">
        <v>43360</v>
      </c>
      <c r="AJ144" s="28">
        <v>79273282</v>
      </c>
      <c r="AK144" s="31"/>
      <c r="AL144" s="29"/>
      <c r="AM144" s="31"/>
      <c r="AN144" s="32"/>
      <c r="AO144" s="61"/>
      <c r="AP144" s="107"/>
      <c r="AQ144" s="28"/>
      <c r="AR144" s="32">
        <v>4300001618</v>
      </c>
      <c r="AS144" s="59"/>
      <c r="AT144" s="31"/>
    </row>
    <row r="145" spans="1:46" ht="33.75" x14ac:dyDescent="0.25">
      <c r="A145" s="14" t="s">
        <v>1073</v>
      </c>
      <c r="B145" s="15" t="s">
        <v>45</v>
      </c>
      <c r="C145" s="15" t="s">
        <v>1074</v>
      </c>
      <c r="D145" s="14" t="s">
        <v>102</v>
      </c>
      <c r="E145" s="15" t="s">
        <v>280</v>
      </c>
      <c r="F145" s="49" t="s">
        <v>1075</v>
      </c>
      <c r="G145" s="17" t="s">
        <v>1076</v>
      </c>
      <c r="H145" s="17"/>
      <c r="I145" s="18" t="s">
        <v>1077</v>
      </c>
      <c r="J145" s="104" t="s">
        <v>480</v>
      </c>
      <c r="K145" s="15" t="s">
        <v>480</v>
      </c>
      <c r="L145" s="134" t="s">
        <v>480</v>
      </c>
      <c r="M145" s="22">
        <v>13420000</v>
      </c>
      <c r="N145" s="50" t="s">
        <v>791</v>
      </c>
      <c r="O145" s="50"/>
      <c r="P145" s="51">
        <v>0</v>
      </c>
      <c r="Q145" s="21">
        <f t="shared" si="13"/>
        <v>13420000</v>
      </c>
      <c r="R145" s="50">
        <v>0</v>
      </c>
      <c r="S145" s="23">
        <f t="shared" si="7"/>
        <v>13420000</v>
      </c>
      <c r="T145" s="115" t="s">
        <v>480</v>
      </c>
      <c r="U145" s="26">
        <v>43346</v>
      </c>
      <c r="V145" s="26">
        <v>43370</v>
      </c>
      <c r="W145" s="25">
        <v>43434</v>
      </c>
      <c r="X145" s="104">
        <f t="shared" si="11"/>
        <v>63</v>
      </c>
      <c r="Y145" s="25">
        <f t="shared" si="12"/>
        <v>43554</v>
      </c>
      <c r="Z145" s="25" t="s">
        <v>480</v>
      </c>
      <c r="AA145" s="25"/>
      <c r="AB145" s="15" t="s">
        <v>51</v>
      </c>
      <c r="AC145" s="26">
        <v>43676</v>
      </c>
      <c r="AD145" s="26"/>
      <c r="AE145" s="26"/>
      <c r="AF145" s="60"/>
      <c r="AG145" s="29" t="s">
        <v>156</v>
      </c>
      <c r="AH145" s="29" t="s">
        <v>634</v>
      </c>
      <c r="AI145" s="29" t="s">
        <v>791</v>
      </c>
      <c r="AJ145" s="28">
        <v>53114465</v>
      </c>
      <c r="AK145" s="29" t="s">
        <v>480</v>
      </c>
      <c r="AL145" s="29" t="s">
        <v>480</v>
      </c>
      <c r="AM145" s="29" t="s">
        <v>480</v>
      </c>
      <c r="AN145" s="29" t="s">
        <v>480</v>
      </c>
      <c r="AO145" s="29" t="s">
        <v>480</v>
      </c>
      <c r="AP145" s="29" t="s">
        <v>480</v>
      </c>
      <c r="AQ145" s="29" t="s">
        <v>480</v>
      </c>
      <c r="AR145" s="70">
        <v>4300001753</v>
      </c>
      <c r="AS145" s="59" t="s">
        <v>639</v>
      </c>
      <c r="AT145" s="116" t="s">
        <v>791</v>
      </c>
    </row>
    <row r="146" spans="1:46" ht="22.5" x14ac:dyDescent="0.25">
      <c r="A146" s="14" t="s">
        <v>1078</v>
      </c>
      <c r="B146" s="15" t="s">
        <v>176</v>
      </c>
      <c r="C146" s="15" t="s">
        <v>1079</v>
      </c>
      <c r="D146" s="15" t="s">
        <v>196</v>
      </c>
      <c r="E146" s="15" t="s">
        <v>794</v>
      </c>
      <c r="F146" s="49" t="s">
        <v>1080</v>
      </c>
      <c r="G146" s="17" t="s">
        <v>1081</v>
      </c>
      <c r="H146" s="17"/>
      <c r="I146" s="49" t="s">
        <v>1082</v>
      </c>
      <c r="J146" s="15" t="s">
        <v>1083</v>
      </c>
      <c r="K146" s="134" t="s">
        <v>124</v>
      </c>
      <c r="L146" s="26">
        <v>43464</v>
      </c>
      <c r="M146" s="22">
        <v>22887143</v>
      </c>
      <c r="N146" s="50">
        <v>146518</v>
      </c>
      <c r="O146" s="50"/>
      <c r="P146" s="51">
        <v>0</v>
      </c>
      <c r="Q146" s="21">
        <f t="shared" si="13"/>
        <v>22887143</v>
      </c>
      <c r="R146" s="22">
        <v>22887143</v>
      </c>
      <c r="S146" s="23">
        <v>0</v>
      </c>
      <c r="T146" s="115">
        <v>0</v>
      </c>
      <c r="U146" s="25">
        <v>43353</v>
      </c>
      <c r="V146" s="25">
        <v>43374</v>
      </c>
      <c r="W146" s="25">
        <v>43435</v>
      </c>
      <c r="X146" s="104">
        <f t="shared" si="11"/>
        <v>60</v>
      </c>
      <c r="Y146" s="25">
        <f>W146-120</f>
        <v>43315</v>
      </c>
      <c r="Z146" s="26" t="s">
        <v>480</v>
      </c>
      <c r="AA146" s="26"/>
      <c r="AB146" s="15" t="s">
        <v>51</v>
      </c>
      <c r="AC146" s="26">
        <v>43566</v>
      </c>
      <c r="AD146" s="26"/>
      <c r="AE146" s="26" t="s">
        <v>686</v>
      </c>
      <c r="AF146" s="26"/>
      <c r="AG146" s="29" t="s">
        <v>538</v>
      </c>
      <c r="AH146" s="29" t="s">
        <v>125</v>
      </c>
      <c r="AI146" s="29">
        <v>43354</v>
      </c>
      <c r="AJ146" s="28">
        <v>1022327549</v>
      </c>
      <c r="AK146" s="31" t="s">
        <v>322</v>
      </c>
      <c r="AL146" s="29">
        <v>43353</v>
      </c>
      <c r="AM146" s="27" t="s">
        <v>1084</v>
      </c>
      <c r="AN146" s="70" t="s">
        <v>1085</v>
      </c>
      <c r="AO146" s="61" t="s">
        <v>1018</v>
      </c>
      <c r="AP146" s="107">
        <v>0.75</v>
      </c>
      <c r="AQ146" s="80">
        <f>22887143+156248400</f>
        <v>179135543</v>
      </c>
      <c r="AR146" s="32">
        <v>4300001611</v>
      </c>
      <c r="AS146" s="59" t="s">
        <v>1086</v>
      </c>
      <c r="AT146" s="31" t="s">
        <v>1087</v>
      </c>
    </row>
    <row r="147" spans="1:46" ht="22.5" x14ac:dyDescent="0.25">
      <c r="A147" s="14" t="s">
        <v>1088</v>
      </c>
      <c r="B147" s="15" t="s">
        <v>176</v>
      </c>
      <c r="C147" s="15" t="s">
        <v>1089</v>
      </c>
      <c r="D147" s="14" t="s">
        <v>574</v>
      </c>
      <c r="E147" s="15" t="s">
        <v>794</v>
      </c>
      <c r="F147" s="49" t="s">
        <v>1090</v>
      </c>
      <c r="G147" s="17" t="s">
        <v>1091</v>
      </c>
      <c r="H147" s="17"/>
      <c r="I147" s="49" t="s">
        <v>1092</v>
      </c>
      <c r="J147" s="15"/>
      <c r="K147" s="134"/>
      <c r="L147" s="26"/>
      <c r="M147" s="22">
        <v>2949891</v>
      </c>
      <c r="N147" s="50">
        <v>146618</v>
      </c>
      <c r="O147" s="50"/>
      <c r="P147" s="23">
        <v>0</v>
      </c>
      <c r="Q147" s="21">
        <f t="shared" si="13"/>
        <v>2949891</v>
      </c>
      <c r="R147" s="22">
        <v>2949891</v>
      </c>
      <c r="S147" s="23">
        <f t="shared" si="7"/>
        <v>0</v>
      </c>
      <c r="T147" s="115">
        <v>0</v>
      </c>
      <c r="U147" s="26">
        <v>43353</v>
      </c>
      <c r="V147" s="26">
        <v>43354</v>
      </c>
      <c r="W147" s="25">
        <v>43368</v>
      </c>
      <c r="X147" s="104">
        <f t="shared" si="11"/>
        <v>14</v>
      </c>
      <c r="Y147" s="25">
        <f t="shared" si="12"/>
        <v>43488</v>
      </c>
      <c r="Z147" s="26" t="s">
        <v>480</v>
      </c>
      <c r="AA147" s="26"/>
      <c r="AB147" s="15" t="s">
        <v>51</v>
      </c>
      <c r="AC147" s="26">
        <v>43445</v>
      </c>
      <c r="AD147" s="26" t="s">
        <v>52</v>
      </c>
      <c r="AE147" s="26" t="s">
        <v>52</v>
      </c>
      <c r="AF147" s="26" t="s">
        <v>515</v>
      </c>
      <c r="AG147" s="29" t="s">
        <v>538</v>
      </c>
      <c r="AH147" s="29" t="s">
        <v>515</v>
      </c>
      <c r="AI147" s="29">
        <v>43354</v>
      </c>
      <c r="AJ147" s="28">
        <v>52453006</v>
      </c>
      <c r="AK147" s="31" t="s">
        <v>322</v>
      </c>
      <c r="AL147" s="29">
        <v>43354</v>
      </c>
      <c r="AM147" s="27" t="s">
        <v>95</v>
      </c>
      <c r="AN147" s="70" t="s">
        <v>1093</v>
      </c>
      <c r="AO147" s="61" t="s">
        <v>799</v>
      </c>
      <c r="AP147" s="107">
        <v>0.9</v>
      </c>
      <c r="AQ147" s="80">
        <v>2654903</v>
      </c>
      <c r="AR147" s="32">
        <v>420003119</v>
      </c>
      <c r="AS147" s="59" t="s">
        <v>1020</v>
      </c>
      <c r="AT147" s="31" t="s">
        <v>1094</v>
      </c>
    </row>
    <row r="148" spans="1:46" ht="33.75" x14ac:dyDescent="0.25">
      <c r="A148" s="14" t="s">
        <v>1095</v>
      </c>
      <c r="B148" s="15" t="s">
        <v>176</v>
      </c>
      <c r="C148" s="15" t="s">
        <v>1096</v>
      </c>
      <c r="D148" s="14" t="s">
        <v>574</v>
      </c>
      <c r="E148" s="15" t="s">
        <v>120</v>
      </c>
      <c r="F148" s="49" t="s">
        <v>1097</v>
      </c>
      <c r="G148" s="17">
        <v>800205914</v>
      </c>
      <c r="H148" s="17">
        <v>1</v>
      </c>
      <c r="I148" s="18" t="s">
        <v>1098</v>
      </c>
      <c r="J148" s="15" t="s">
        <v>1099</v>
      </c>
      <c r="K148" s="134" t="s">
        <v>464</v>
      </c>
      <c r="L148" s="26"/>
      <c r="M148" s="55">
        <v>15010206</v>
      </c>
      <c r="N148" s="50">
        <v>146818</v>
      </c>
      <c r="O148" s="50"/>
      <c r="P148" s="48">
        <v>0</v>
      </c>
      <c r="Q148" s="21">
        <f t="shared" si="13"/>
        <v>15010206</v>
      </c>
      <c r="R148" s="55"/>
      <c r="S148" s="23">
        <f t="shared" si="7"/>
        <v>15010206</v>
      </c>
      <c r="T148" s="117"/>
      <c r="U148" s="25">
        <v>43354</v>
      </c>
      <c r="V148" s="25">
        <v>43354</v>
      </c>
      <c r="W148" s="25">
        <v>43385</v>
      </c>
      <c r="X148" s="104">
        <f t="shared" si="11"/>
        <v>31</v>
      </c>
      <c r="Y148" s="25">
        <f t="shared" si="12"/>
        <v>43505</v>
      </c>
      <c r="Z148" s="24"/>
      <c r="AA148" s="24"/>
      <c r="AB148" s="15" t="s">
        <v>51</v>
      </c>
      <c r="AC148" s="26">
        <v>43560</v>
      </c>
      <c r="AD148" s="26" t="s">
        <v>52</v>
      </c>
      <c r="AE148" s="26" t="s">
        <v>686</v>
      </c>
      <c r="AF148" s="26"/>
      <c r="AG148" s="29" t="s">
        <v>538</v>
      </c>
      <c r="AH148" s="29" t="s">
        <v>653</v>
      </c>
      <c r="AI148" s="106">
        <v>43360</v>
      </c>
      <c r="AJ148" s="28">
        <v>74244103</v>
      </c>
      <c r="AK148" s="29" t="s">
        <v>126</v>
      </c>
      <c r="AL148" s="29">
        <v>43355</v>
      </c>
      <c r="AM148" s="31" t="s">
        <v>252</v>
      </c>
      <c r="AN148" s="32" t="s">
        <v>1100</v>
      </c>
      <c r="AO148" s="57" t="s">
        <v>352</v>
      </c>
      <c r="AP148" s="107">
        <v>0.65</v>
      </c>
      <c r="AQ148" s="142">
        <f>3002041.2+6004082.4+750510.3</f>
        <v>9756633.9000000022</v>
      </c>
      <c r="AR148" s="32" t="s">
        <v>1101</v>
      </c>
      <c r="AS148" s="59" t="s">
        <v>293</v>
      </c>
      <c r="AT148" s="31" t="s">
        <v>1102</v>
      </c>
    </row>
    <row r="149" spans="1:46" ht="45" x14ac:dyDescent="0.25">
      <c r="A149" s="14" t="s">
        <v>1103</v>
      </c>
      <c r="B149" s="15" t="s">
        <v>176</v>
      </c>
      <c r="C149" s="15" t="s">
        <v>1104</v>
      </c>
      <c r="D149" s="15" t="s">
        <v>196</v>
      </c>
      <c r="E149" s="15" t="s">
        <v>794</v>
      </c>
      <c r="F149" s="49" t="s">
        <v>606</v>
      </c>
      <c r="G149" s="17" t="s">
        <v>1105</v>
      </c>
      <c r="H149" s="17"/>
      <c r="I149" s="16" t="s">
        <v>1106</v>
      </c>
      <c r="J149" s="15" t="s">
        <v>1107</v>
      </c>
      <c r="K149" s="134" t="s">
        <v>464</v>
      </c>
      <c r="L149" s="26">
        <v>43432</v>
      </c>
      <c r="M149" s="22">
        <v>58000000</v>
      </c>
      <c r="N149" s="50">
        <v>152518</v>
      </c>
      <c r="O149" s="50"/>
      <c r="P149" s="48">
        <v>0</v>
      </c>
      <c r="Q149" s="21">
        <f t="shared" si="13"/>
        <v>58000000</v>
      </c>
      <c r="R149" s="21">
        <f>1263576+7823810+10399500+36556541</f>
        <v>56043427</v>
      </c>
      <c r="S149" s="23">
        <f t="shared" si="7"/>
        <v>1956573</v>
      </c>
      <c r="T149" s="115">
        <v>0</v>
      </c>
      <c r="U149" s="25">
        <v>43355</v>
      </c>
      <c r="V149" s="25">
        <v>43355</v>
      </c>
      <c r="W149" s="25">
        <v>43465</v>
      </c>
      <c r="X149" s="104">
        <f t="shared" si="11"/>
        <v>109</v>
      </c>
      <c r="Y149" s="25">
        <f>W149+120</f>
        <v>43585</v>
      </c>
      <c r="Z149" s="15" t="s">
        <v>480</v>
      </c>
      <c r="AA149" s="15"/>
      <c r="AB149" s="15" t="s">
        <v>51</v>
      </c>
      <c r="AC149" s="134">
        <v>43565</v>
      </c>
      <c r="AD149" s="15" t="s">
        <v>164</v>
      </c>
      <c r="AE149" s="54" t="s">
        <v>1108</v>
      </c>
      <c r="AF149" s="54"/>
      <c r="AG149" s="27" t="s">
        <v>137</v>
      </c>
      <c r="AH149" s="27" t="s">
        <v>336</v>
      </c>
      <c r="AI149" s="29">
        <v>43360</v>
      </c>
      <c r="AJ149" s="28">
        <v>52234812</v>
      </c>
      <c r="AK149" s="31" t="s">
        <v>322</v>
      </c>
      <c r="AL149" s="29">
        <v>43355</v>
      </c>
      <c r="AM149" s="27" t="s">
        <v>323</v>
      </c>
      <c r="AN149" s="70" t="s">
        <v>1109</v>
      </c>
      <c r="AO149" s="61" t="s">
        <v>1018</v>
      </c>
      <c r="AP149" s="107">
        <v>0.85</v>
      </c>
      <c r="AQ149" s="80">
        <f>49300000+156248400</f>
        <v>205548400</v>
      </c>
      <c r="AR149" s="32">
        <v>51000002575</v>
      </c>
      <c r="AS149" s="59" t="s">
        <v>1110</v>
      </c>
      <c r="AT149" s="31" t="s">
        <v>1111</v>
      </c>
    </row>
    <row r="150" spans="1:46" ht="22.5" x14ac:dyDescent="0.25">
      <c r="A150" s="14" t="s">
        <v>1112</v>
      </c>
      <c r="B150" s="15" t="s">
        <v>176</v>
      </c>
      <c r="C150" s="15" t="s">
        <v>1113</v>
      </c>
      <c r="D150" s="14" t="s">
        <v>318</v>
      </c>
      <c r="E150" s="15" t="s">
        <v>794</v>
      </c>
      <c r="F150" s="49" t="s">
        <v>1114</v>
      </c>
      <c r="G150" s="17" t="s">
        <v>1115</v>
      </c>
      <c r="H150" s="17"/>
      <c r="I150" s="49" t="s">
        <v>1116</v>
      </c>
      <c r="J150" s="15"/>
      <c r="K150" s="134"/>
      <c r="L150" s="26"/>
      <c r="M150" s="22">
        <v>17850000</v>
      </c>
      <c r="N150" s="50">
        <v>152618</v>
      </c>
      <c r="O150" s="50"/>
      <c r="P150" s="51">
        <v>0</v>
      </c>
      <c r="Q150" s="21">
        <f t="shared" si="13"/>
        <v>17850000</v>
      </c>
      <c r="R150" s="22">
        <v>17850000</v>
      </c>
      <c r="S150" s="23">
        <f t="shared" si="7"/>
        <v>0</v>
      </c>
      <c r="T150" s="115">
        <v>0</v>
      </c>
      <c r="U150" s="25">
        <v>43356</v>
      </c>
      <c r="V150" s="25">
        <v>43356</v>
      </c>
      <c r="W150" s="25">
        <v>43404</v>
      </c>
      <c r="X150" s="104">
        <f t="shared" si="11"/>
        <v>48</v>
      </c>
      <c r="Y150" s="25">
        <f>W150+120</f>
        <v>43524</v>
      </c>
      <c r="Z150" s="26" t="s">
        <v>480</v>
      </c>
      <c r="AA150" s="26"/>
      <c r="AB150" s="15" t="s">
        <v>51</v>
      </c>
      <c r="AC150" s="26">
        <v>43741</v>
      </c>
      <c r="AD150" s="60" t="s">
        <v>164</v>
      </c>
      <c r="AE150" s="54" t="s">
        <v>1117</v>
      </c>
      <c r="AF150" s="26"/>
      <c r="AG150" s="29" t="s">
        <v>538</v>
      </c>
      <c r="AH150" s="29" t="s">
        <v>634</v>
      </c>
      <c r="AI150" s="29">
        <v>43356</v>
      </c>
      <c r="AJ150" s="28">
        <v>52427837</v>
      </c>
      <c r="AK150" s="31" t="s">
        <v>322</v>
      </c>
      <c r="AL150" s="143">
        <v>43361</v>
      </c>
      <c r="AM150" s="27" t="s">
        <v>1118</v>
      </c>
      <c r="AN150" s="32">
        <v>2000709</v>
      </c>
      <c r="AO150" s="61" t="s">
        <v>1119</v>
      </c>
      <c r="AP150" s="107">
        <v>0.75</v>
      </c>
      <c r="AQ150" s="80">
        <v>17850000</v>
      </c>
      <c r="AR150" s="32">
        <v>4300001615</v>
      </c>
      <c r="AS150" s="59" t="s">
        <v>602</v>
      </c>
      <c r="AT150" s="31" t="s">
        <v>1120</v>
      </c>
    </row>
    <row r="151" spans="1:46" ht="22.5" x14ac:dyDescent="0.25">
      <c r="A151" s="14" t="s">
        <v>1121</v>
      </c>
      <c r="B151" s="15"/>
      <c r="C151" s="15" t="s">
        <v>1122</v>
      </c>
      <c r="D151" s="14" t="s">
        <v>318</v>
      </c>
      <c r="E151" s="15" t="s">
        <v>48</v>
      </c>
      <c r="F151" s="49" t="s">
        <v>1123</v>
      </c>
      <c r="G151" s="17" t="s">
        <v>1124</v>
      </c>
      <c r="H151" s="17"/>
      <c r="I151" s="18" t="s">
        <v>1125</v>
      </c>
      <c r="J151" s="15"/>
      <c r="K151" s="134"/>
      <c r="L151" s="26"/>
      <c r="M151" s="55">
        <v>6550000000</v>
      </c>
      <c r="N151" s="50"/>
      <c r="O151" s="50"/>
      <c r="P151" s="51">
        <v>0</v>
      </c>
      <c r="Q151" s="21">
        <f t="shared" si="13"/>
        <v>6550000000</v>
      </c>
      <c r="R151" s="22"/>
      <c r="S151" s="23">
        <f t="shared" si="7"/>
        <v>6550000000</v>
      </c>
      <c r="T151" s="38"/>
      <c r="U151" s="25">
        <v>43357</v>
      </c>
      <c r="V151" s="25">
        <v>43357</v>
      </c>
      <c r="W151" s="25">
        <v>43465</v>
      </c>
      <c r="X151" s="104">
        <f t="shared" si="11"/>
        <v>107</v>
      </c>
      <c r="Y151" s="25">
        <f t="shared" si="12"/>
        <v>43585</v>
      </c>
      <c r="Z151" s="26"/>
      <c r="AA151" s="26"/>
      <c r="AB151" s="15" t="s">
        <v>51</v>
      </c>
      <c r="AC151" s="60">
        <v>43644</v>
      </c>
      <c r="AD151" s="110"/>
      <c r="AE151" s="26"/>
      <c r="AF151" s="26"/>
      <c r="AG151" s="29" t="s">
        <v>156</v>
      </c>
      <c r="AH151" s="29"/>
      <c r="AI151" s="29"/>
      <c r="AJ151" s="28"/>
      <c r="AK151" s="31"/>
      <c r="AL151" s="143"/>
      <c r="AM151" s="27"/>
      <c r="AN151" s="32"/>
      <c r="AO151" s="61"/>
      <c r="AP151" s="107"/>
      <c r="AQ151" s="28"/>
      <c r="AR151" s="32">
        <v>4400000363</v>
      </c>
      <c r="AS151" s="59"/>
      <c r="AT151" s="31"/>
    </row>
    <row r="152" spans="1:46" ht="22.5" x14ac:dyDescent="0.25">
      <c r="A152" s="14" t="s">
        <v>1126</v>
      </c>
      <c r="B152" s="15"/>
      <c r="C152" s="15" t="s">
        <v>1122</v>
      </c>
      <c r="D152" s="14" t="s">
        <v>318</v>
      </c>
      <c r="E152" s="15" t="s">
        <v>48</v>
      </c>
      <c r="F152" s="49" t="s">
        <v>1123</v>
      </c>
      <c r="G152" s="17" t="s">
        <v>1124</v>
      </c>
      <c r="H152" s="17"/>
      <c r="I152" s="18" t="s">
        <v>1125</v>
      </c>
      <c r="J152" s="15"/>
      <c r="K152" s="134"/>
      <c r="L152" s="26"/>
      <c r="M152" s="55"/>
      <c r="N152" s="50"/>
      <c r="O152" s="50"/>
      <c r="P152" s="23">
        <v>3218208632</v>
      </c>
      <c r="Q152" s="21"/>
      <c r="R152" s="22"/>
      <c r="S152" s="23"/>
      <c r="T152" s="38"/>
      <c r="U152" s="25"/>
      <c r="V152" s="25"/>
      <c r="W152" s="25">
        <v>43465</v>
      </c>
      <c r="X152" s="104"/>
      <c r="Y152" s="25"/>
      <c r="Z152" s="26"/>
      <c r="AA152" s="26"/>
      <c r="AB152" s="15" t="s">
        <v>51</v>
      </c>
      <c r="AC152" s="60">
        <v>43644</v>
      </c>
      <c r="AD152" s="110"/>
      <c r="AE152" s="26"/>
      <c r="AF152" s="26"/>
      <c r="AG152" s="29" t="s">
        <v>156</v>
      </c>
      <c r="AH152" s="29"/>
      <c r="AI152" s="29"/>
      <c r="AJ152" s="28"/>
      <c r="AK152" s="31"/>
      <c r="AL152" s="143"/>
      <c r="AM152" s="27"/>
      <c r="AN152" s="32"/>
      <c r="AO152" s="61"/>
      <c r="AP152" s="107"/>
      <c r="AQ152" s="28"/>
      <c r="AR152" s="32">
        <v>4400000374</v>
      </c>
      <c r="AS152" s="59"/>
      <c r="AT152" s="31"/>
    </row>
    <row r="153" spans="1:46" ht="33.75" x14ac:dyDescent="0.25">
      <c r="A153" s="14" t="s">
        <v>1127</v>
      </c>
      <c r="B153" s="15" t="s">
        <v>288</v>
      </c>
      <c r="C153" s="15" t="s">
        <v>1128</v>
      </c>
      <c r="D153" s="14" t="s">
        <v>574</v>
      </c>
      <c r="E153" s="15" t="s">
        <v>628</v>
      </c>
      <c r="F153" s="49" t="s">
        <v>1129</v>
      </c>
      <c r="G153" s="17" t="s">
        <v>1130</v>
      </c>
      <c r="H153" s="17"/>
      <c r="I153" s="18" t="s">
        <v>1131</v>
      </c>
      <c r="J153" s="104" t="s">
        <v>480</v>
      </c>
      <c r="K153" s="15" t="s">
        <v>480</v>
      </c>
      <c r="L153" s="134" t="s">
        <v>480</v>
      </c>
      <c r="M153" s="22">
        <v>396500000</v>
      </c>
      <c r="N153" s="50">
        <v>153218</v>
      </c>
      <c r="O153" s="50"/>
      <c r="P153" s="51">
        <v>0</v>
      </c>
      <c r="Q153" s="21">
        <f t="shared" si="13"/>
        <v>396500000</v>
      </c>
      <c r="R153" s="50">
        <v>0</v>
      </c>
      <c r="S153" s="23">
        <f t="shared" si="7"/>
        <v>396500000</v>
      </c>
      <c r="T153" s="115" t="s">
        <v>480</v>
      </c>
      <c r="U153" s="26">
        <v>43361</v>
      </c>
      <c r="V153" s="26">
        <v>43361</v>
      </c>
      <c r="W153" s="26">
        <v>43464</v>
      </c>
      <c r="X153" s="104">
        <f t="shared" si="11"/>
        <v>102</v>
      </c>
      <c r="Y153" s="25">
        <f t="shared" si="12"/>
        <v>43584</v>
      </c>
      <c r="Z153" s="25" t="s">
        <v>480</v>
      </c>
      <c r="AA153" s="25"/>
      <c r="AB153" s="15" t="s">
        <v>51</v>
      </c>
      <c r="AC153" s="26">
        <v>43524</v>
      </c>
      <c r="AD153" s="26" t="s">
        <v>52</v>
      </c>
      <c r="AE153" s="26" t="s">
        <v>1132</v>
      </c>
      <c r="AF153" s="60"/>
      <c r="AG153" s="29" t="s">
        <v>137</v>
      </c>
      <c r="AH153" s="29" t="s">
        <v>567</v>
      </c>
      <c r="AI153" s="29">
        <v>43361</v>
      </c>
      <c r="AJ153" s="28" t="s">
        <v>791</v>
      </c>
      <c r="AK153" s="29" t="s">
        <v>126</v>
      </c>
      <c r="AL153" s="29">
        <v>43362</v>
      </c>
      <c r="AM153" s="27" t="s">
        <v>522</v>
      </c>
      <c r="AN153" s="70" t="s">
        <v>1133</v>
      </c>
      <c r="AO153" s="27" t="s">
        <v>305</v>
      </c>
      <c r="AP153" s="107" t="s">
        <v>818</v>
      </c>
      <c r="AQ153" s="80" t="s">
        <v>1134</v>
      </c>
      <c r="AR153" s="70">
        <v>5100002644</v>
      </c>
      <c r="AS153" s="59" t="s">
        <v>639</v>
      </c>
      <c r="AT153" s="116" t="s">
        <v>791</v>
      </c>
    </row>
    <row r="154" spans="1:46" ht="33.75" x14ac:dyDescent="0.25">
      <c r="A154" s="14" t="s">
        <v>1135</v>
      </c>
      <c r="B154" s="15" t="s">
        <v>288</v>
      </c>
      <c r="C154" s="15" t="s">
        <v>1128</v>
      </c>
      <c r="D154" s="14" t="s">
        <v>574</v>
      </c>
      <c r="E154" s="15" t="s">
        <v>628</v>
      </c>
      <c r="F154" s="49" t="s">
        <v>1129</v>
      </c>
      <c r="G154" s="17" t="s">
        <v>1130</v>
      </c>
      <c r="H154" s="17"/>
      <c r="I154" s="18" t="s">
        <v>1131</v>
      </c>
      <c r="J154" s="104" t="s">
        <v>480</v>
      </c>
      <c r="K154" s="15" t="s">
        <v>480</v>
      </c>
      <c r="L154" s="134" t="s">
        <v>480</v>
      </c>
      <c r="M154" s="22"/>
      <c r="N154" s="50"/>
      <c r="O154" s="50"/>
      <c r="P154" s="23">
        <v>198250000</v>
      </c>
      <c r="Q154" s="21"/>
      <c r="R154" s="50"/>
      <c r="S154" s="23"/>
      <c r="T154" s="115"/>
      <c r="U154" s="26"/>
      <c r="V154" s="26"/>
      <c r="W154" s="26"/>
      <c r="X154" s="104"/>
      <c r="Y154" s="25"/>
      <c r="Z154" s="25"/>
      <c r="AA154" s="25"/>
      <c r="AB154" s="15" t="s">
        <v>51</v>
      </c>
      <c r="AC154" s="26">
        <v>43524</v>
      </c>
      <c r="AD154" s="26" t="s">
        <v>52</v>
      </c>
      <c r="AE154" s="26" t="s">
        <v>1132</v>
      </c>
      <c r="AF154" s="60"/>
      <c r="AG154" s="29" t="s">
        <v>137</v>
      </c>
      <c r="AH154" s="29" t="s">
        <v>567</v>
      </c>
      <c r="AI154" s="29">
        <v>43361</v>
      </c>
      <c r="AJ154" s="28" t="s">
        <v>791</v>
      </c>
      <c r="AK154" s="29" t="s">
        <v>126</v>
      </c>
      <c r="AL154" s="29">
        <v>43362</v>
      </c>
      <c r="AM154" s="27" t="s">
        <v>522</v>
      </c>
      <c r="AN154" s="70" t="s">
        <v>1133</v>
      </c>
      <c r="AO154" s="27" t="s">
        <v>305</v>
      </c>
      <c r="AP154" s="107" t="s">
        <v>818</v>
      </c>
      <c r="AQ154" s="80" t="s">
        <v>1134</v>
      </c>
      <c r="AR154" s="70">
        <v>5100002783</v>
      </c>
      <c r="AS154" s="59"/>
      <c r="AT154" s="116"/>
    </row>
    <row r="155" spans="1:46" ht="33.75" x14ac:dyDescent="0.25">
      <c r="A155" s="82" t="s">
        <v>1136</v>
      </c>
      <c r="B155" s="83" t="s">
        <v>438</v>
      </c>
      <c r="C155" s="83" t="s">
        <v>1137</v>
      </c>
      <c r="D155" s="82" t="s">
        <v>1138</v>
      </c>
      <c r="E155" s="83" t="s">
        <v>298</v>
      </c>
      <c r="F155" s="144" t="s">
        <v>1139</v>
      </c>
      <c r="G155" s="85">
        <v>800159998</v>
      </c>
      <c r="H155" s="85">
        <v>0</v>
      </c>
      <c r="I155" s="86" t="s">
        <v>1140</v>
      </c>
      <c r="J155" s="83" t="s">
        <v>349</v>
      </c>
      <c r="K155" s="145" t="s">
        <v>350</v>
      </c>
      <c r="L155" s="88"/>
      <c r="M155" s="89">
        <v>73436740</v>
      </c>
      <c r="N155" s="146" t="s">
        <v>1141</v>
      </c>
      <c r="O155" s="146"/>
      <c r="P155" s="94">
        <f>2718526055+2881281808</f>
        <v>5599807863</v>
      </c>
      <c r="Q155" s="92">
        <f t="shared" si="13"/>
        <v>5673244603</v>
      </c>
      <c r="R155" s="93"/>
      <c r="S155" s="94">
        <f t="shared" si="7"/>
        <v>5673244603</v>
      </c>
      <c r="T155" s="147"/>
      <c r="U155" s="95">
        <v>43354</v>
      </c>
      <c r="V155" s="95">
        <v>43354</v>
      </c>
      <c r="W155" s="95">
        <v>43829</v>
      </c>
      <c r="X155" s="87">
        <f t="shared" si="11"/>
        <v>469</v>
      </c>
      <c r="Y155" s="95">
        <f>+Z155+120</f>
        <v>44681</v>
      </c>
      <c r="Z155" s="88">
        <v>44561</v>
      </c>
      <c r="AA155" s="88"/>
      <c r="AB155" s="83" t="s">
        <v>293</v>
      </c>
      <c r="AC155" s="96"/>
      <c r="AD155" s="96"/>
      <c r="AE155" s="88"/>
      <c r="AF155" s="88"/>
      <c r="AG155" s="97" t="s">
        <v>137</v>
      </c>
      <c r="AH155" s="97" t="s">
        <v>1142</v>
      </c>
      <c r="AI155" s="148">
        <v>43369</v>
      </c>
      <c r="AJ155" s="98">
        <v>51594818</v>
      </c>
      <c r="AK155" s="9" t="s">
        <v>126</v>
      </c>
      <c r="AL155" s="149">
        <v>43367</v>
      </c>
      <c r="AM155" s="13" t="s">
        <v>1143</v>
      </c>
      <c r="AN155" s="99" t="s">
        <v>1144</v>
      </c>
      <c r="AO155" s="150" t="s">
        <v>352</v>
      </c>
      <c r="AP155" s="151">
        <v>0.65</v>
      </c>
      <c r="AQ155" s="152">
        <f>14687348+29374696+3671837</f>
        <v>47733881</v>
      </c>
      <c r="AR155" s="99">
        <v>4300001683</v>
      </c>
      <c r="AS155" s="103" t="s">
        <v>1145</v>
      </c>
      <c r="AT155" s="9" t="s">
        <v>1146</v>
      </c>
    </row>
    <row r="156" spans="1:46" ht="22.5" x14ac:dyDescent="0.25">
      <c r="A156" s="14" t="s">
        <v>1147</v>
      </c>
      <c r="B156" s="15" t="s">
        <v>288</v>
      </c>
      <c r="C156" s="15" t="s">
        <v>1148</v>
      </c>
      <c r="D156" s="15" t="s">
        <v>196</v>
      </c>
      <c r="E156" s="15" t="s">
        <v>290</v>
      </c>
      <c r="F156" s="49" t="s">
        <v>372</v>
      </c>
      <c r="G156" s="17">
        <v>860524654</v>
      </c>
      <c r="H156" s="17">
        <v>6</v>
      </c>
      <c r="I156" s="18" t="s">
        <v>1149</v>
      </c>
      <c r="J156" s="104" t="s">
        <v>480</v>
      </c>
      <c r="K156" s="15" t="s">
        <v>480</v>
      </c>
      <c r="L156" s="134" t="s">
        <v>480</v>
      </c>
      <c r="M156" s="22">
        <v>112205805</v>
      </c>
      <c r="N156" s="50" t="s">
        <v>791</v>
      </c>
      <c r="O156" s="50"/>
      <c r="P156" s="23">
        <v>31935498</v>
      </c>
      <c r="Q156" s="21">
        <f t="shared" si="13"/>
        <v>144141303</v>
      </c>
      <c r="R156" s="153">
        <v>112205805</v>
      </c>
      <c r="S156" s="23">
        <f>Q156-R156</f>
        <v>31935498</v>
      </c>
      <c r="T156" s="22" t="s">
        <v>480</v>
      </c>
      <c r="U156" s="25">
        <v>43362</v>
      </c>
      <c r="V156" s="25">
        <v>43362</v>
      </c>
      <c r="W156" s="25">
        <v>43830</v>
      </c>
      <c r="X156" s="104"/>
      <c r="Y156" s="25">
        <f>+Z156+120</f>
        <v>44315</v>
      </c>
      <c r="Z156" s="26">
        <v>44195</v>
      </c>
      <c r="AA156" s="26"/>
      <c r="AB156" s="15" t="s">
        <v>51</v>
      </c>
      <c r="AC156" s="26">
        <v>44285</v>
      </c>
      <c r="AD156" s="60"/>
      <c r="AE156" s="26"/>
      <c r="AF156" s="26"/>
      <c r="AG156" s="29" t="s">
        <v>137</v>
      </c>
      <c r="AH156" s="29" t="s">
        <v>443</v>
      </c>
      <c r="AI156" s="29" t="s">
        <v>791</v>
      </c>
      <c r="AJ156" s="28" t="s">
        <v>791</v>
      </c>
      <c r="AK156" s="28" t="s">
        <v>791</v>
      </c>
      <c r="AL156" s="28" t="s">
        <v>791</v>
      </c>
      <c r="AM156" s="28" t="s">
        <v>791</v>
      </c>
      <c r="AN156" s="28" t="s">
        <v>791</v>
      </c>
      <c r="AO156" s="28" t="s">
        <v>791</v>
      </c>
      <c r="AP156" s="28" t="s">
        <v>791</v>
      </c>
      <c r="AQ156" s="28" t="s">
        <v>791</v>
      </c>
      <c r="AR156" s="70">
        <v>4300001714</v>
      </c>
      <c r="AS156" s="59" t="s">
        <v>1150</v>
      </c>
      <c r="AT156" s="116" t="s">
        <v>791</v>
      </c>
    </row>
    <row r="157" spans="1:46" ht="33.75" x14ac:dyDescent="0.25">
      <c r="A157" s="14" t="s">
        <v>1151</v>
      </c>
      <c r="B157" s="15" t="s">
        <v>288</v>
      </c>
      <c r="C157" s="15" t="s">
        <v>1152</v>
      </c>
      <c r="D157" s="15" t="s">
        <v>196</v>
      </c>
      <c r="E157" s="15" t="s">
        <v>628</v>
      </c>
      <c r="F157" s="49" t="s">
        <v>1153</v>
      </c>
      <c r="G157" s="17" t="s">
        <v>1154</v>
      </c>
      <c r="H157" s="17"/>
      <c r="I157" s="18" t="s">
        <v>1155</v>
      </c>
      <c r="J157" s="104" t="s">
        <v>480</v>
      </c>
      <c r="K157" s="15" t="s">
        <v>480</v>
      </c>
      <c r="L157" s="134" t="s">
        <v>480</v>
      </c>
      <c r="M157" s="22">
        <v>46252970</v>
      </c>
      <c r="N157" s="50">
        <v>157818</v>
      </c>
      <c r="O157" s="50"/>
      <c r="P157" s="51">
        <v>0</v>
      </c>
      <c r="Q157" s="21">
        <f t="shared" si="13"/>
        <v>46252970</v>
      </c>
      <c r="R157" s="23">
        <v>0</v>
      </c>
      <c r="S157" s="23">
        <f t="shared" si="7"/>
        <v>46252970</v>
      </c>
      <c r="T157" s="115" t="s">
        <v>480</v>
      </c>
      <c r="U157" s="26">
        <v>43369</v>
      </c>
      <c r="V157" s="26">
        <v>43369</v>
      </c>
      <c r="W157" s="25">
        <v>43403</v>
      </c>
      <c r="X157" s="104">
        <f t="shared" si="11"/>
        <v>34</v>
      </c>
      <c r="Y157" s="25">
        <f t="shared" si="12"/>
        <v>43523</v>
      </c>
      <c r="Z157" s="25" t="s">
        <v>480</v>
      </c>
      <c r="AA157" s="25"/>
      <c r="AB157" s="15" t="s">
        <v>51</v>
      </c>
      <c r="AC157" s="26">
        <v>43549</v>
      </c>
      <c r="AD157" s="26"/>
      <c r="AE157" s="26" t="s">
        <v>1156</v>
      </c>
      <c r="AF157" s="60"/>
      <c r="AG157" s="29" t="s">
        <v>538</v>
      </c>
      <c r="AH157" s="29" t="s">
        <v>515</v>
      </c>
      <c r="AI157" s="29">
        <v>43354</v>
      </c>
      <c r="AJ157" s="28">
        <v>52453006</v>
      </c>
      <c r="AK157" s="29" t="s">
        <v>126</v>
      </c>
      <c r="AL157" s="29">
        <v>43369</v>
      </c>
      <c r="AM157" s="27" t="s">
        <v>1157</v>
      </c>
      <c r="AN157" s="70" t="s">
        <v>1158</v>
      </c>
      <c r="AO157" s="27" t="s">
        <v>305</v>
      </c>
      <c r="AP157" s="107" t="s">
        <v>913</v>
      </c>
      <c r="AQ157" s="80" t="s">
        <v>1159</v>
      </c>
      <c r="AR157" s="70">
        <v>520000072</v>
      </c>
      <c r="AS157" s="59" t="s">
        <v>1160</v>
      </c>
      <c r="AT157" s="116">
        <v>20186030241993</v>
      </c>
    </row>
    <row r="158" spans="1:46" ht="22.5" x14ac:dyDescent="0.25">
      <c r="A158" s="14" t="s">
        <v>1161</v>
      </c>
      <c r="B158" s="15" t="s">
        <v>176</v>
      </c>
      <c r="C158" s="15" t="s">
        <v>1162</v>
      </c>
      <c r="D158" s="15" t="s">
        <v>266</v>
      </c>
      <c r="E158" s="15" t="s">
        <v>332</v>
      </c>
      <c r="F158" s="49" t="s">
        <v>410</v>
      </c>
      <c r="G158" s="17">
        <v>811009788</v>
      </c>
      <c r="H158" s="17">
        <v>8</v>
      </c>
      <c r="I158" s="18" t="s">
        <v>1163</v>
      </c>
      <c r="J158" s="104" t="s">
        <v>480</v>
      </c>
      <c r="K158" s="15" t="s">
        <v>480</v>
      </c>
      <c r="L158" s="134" t="s">
        <v>480</v>
      </c>
      <c r="M158" s="22">
        <v>18000000</v>
      </c>
      <c r="N158" s="50">
        <v>159818</v>
      </c>
      <c r="O158" s="112" t="s">
        <v>1164</v>
      </c>
      <c r="P158" s="114">
        <v>9000000</v>
      </c>
      <c r="Q158" s="55">
        <f t="shared" si="13"/>
        <v>27000000</v>
      </c>
      <c r="R158" s="22">
        <f>6875264+7856465</f>
        <v>14731729</v>
      </c>
      <c r="S158" s="23">
        <f t="shared" si="7"/>
        <v>12268271</v>
      </c>
      <c r="T158" s="115"/>
      <c r="U158" s="26">
        <v>43376</v>
      </c>
      <c r="V158" s="26">
        <v>43376</v>
      </c>
      <c r="W158" s="25">
        <v>43465</v>
      </c>
      <c r="X158" s="104">
        <f t="shared" si="11"/>
        <v>88</v>
      </c>
      <c r="Y158" s="25">
        <f>+W158+120</f>
        <v>43585</v>
      </c>
      <c r="Z158" s="25">
        <v>43496</v>
      </c>
      <c r="AA158" s="25"/>
      <c r="AB158" s="15" t="s">
        <v>51</v>
      </c>
      <c r="AC158" s="26">
        <v>43679</v>
      </c>
      <c r="AD158" s="26"/>
      <c r="AE158" s="26"/>
      <c r="AF158" s="60"/>
      <c r="AG158" s="29" t="s">
        <v>538</v>
      </c>
      <c r="AH158" s="29" t="s">
        <v>384</v>
      </c>
      <c r="AI158" s="29">
        <v>43395</v>
      </c>
      <c r="AJ158" s="70">
        <v>53114465</v>
      </c>
      <c r="AK158" s="29" t="s">
        <v>322</v>
      </c>
      <c r="AL158" s="29">
        <v>43378</v>
      </c>
      <c r="AM158" s="27" t="s">
        <v>941</v>
      </c>
      <c r="AN158" s="116">
        <v>2968932</v>
      </c>
      <c r="AO158" s="27" t="s">
        <v>1165</v>
      </c>
      <c r="AP158" s="107">
        <v>0.75</v>
      </c>
      <c r="AQ158" s="80">
        <v>18000000</v>
      </c>
      <c r="AR158" s="70">
        <v>510002652</v>
      </c>
      <c r="AS158" s="59"/>
      <c r="AT158" s="116">
        <v>20186030264283</v>
      </c>
    </row>
    <row r="159" spans="1:46" ht="22.5" x14ac:dyDescent="0.25">
      <c r="A159" s="14" t="s">
        <v>1166</v>
      </c>
      <c r="B159" s="15" t="s">
        <v>176</v>
      </c>
      <c r="C159" s="15" t="s">
        <v>1167</v>
      </c>
      <c r="D159" s="15" t="s">
        <v>266</v>
      </c>
      <c r="E159" s="15" t="s">
        <v>280</v>
      </c>
      <c r="F159" s="49" t="s">
        <v>1168</v>
      </c>
      <c r="G159" s="17">
        <v>37658917</v>
      </c>
      <c r="H159" s="17"/>
      <c r="I159" s="49" t="s">
        <v>1169</v>
      </c>
      <c r="J159" s="104" t="s">
        <v>480</v>
      </c>
      <c r="K159" s="15" t="s">
        <v>480</v>
      </c>
      <c r="L159" s="134" t="s">
        <v>480</v>
      </c>
      <c r="M159" s="22">
        <v>3900000</v>
      </c>
      <c r="N159" s="104">
        <v>160318</v>
      </c>
      <c r="O159" s="50"/>
      <c r="P159" s="51">
        <v>0</v>
      </c>
      <c r="Q159" s="21">
        <f t="shared" si="13"/>
        <v>3900000</v>
      </c>
      <c r="R159" s="23"/>
      <c r="S159" s="23">
        <f t="shared" si="7"/>
        <v>3900000</v>
      </c>
      <c r="T159" s="115"/>
      <c r="U159" s="26">
        <v>43378</v>
      </c>
      <c r="V159" s="26">
        <v>43378</v>
      </c>
      <c r="W159" s="25">
        <v>43392</v>
      </c>
      <c r="X159" s="104">
        <f t="shared" si="11"/>
        <v>14</v>
      </c>
      <c r="Y159" s="25">
        <v>43511</v>
      </c>
      <c r="Z159" s="25"/>
      <c r="AA159" s="25"/>
      <c r="AB159" s="15" t="s">
        <v>51</v>
      </c>
      <c r="AC159" s="26">
        <v>43570</v>
      </c>
      <c r="AD159" s="26"/>
      <c r="AE159" s="26"/>
      <c r="AF159" s="60"/>
      <c r="AG159" s="29" t="s">
        <v>538</v>
      </c>
      <c r="AH159" s="29" t="s">
        <v>1170</v>
      </c>
      <c r="AI159" s="29">
        <v>43384</v>
      </c>
      <c r="AJ159" s="70">
        <v>7341992</v>
      </c>
      <c r="AK159" s="29" t="s">
        <v>126</v>
      </c>
      <c r="AL159" s="29">
        <v>43378</v>
      </c>
      <c r="AM159" s="27" t="s">
        <v>372</v>
      </c>
      <c r="AN159" s="70" t="s">
        <v>1171</v>
      </c>
      <c r="AO159" s="27" t="s">
        <v>665</v>
      </c>
      <c r="AP159" s="107" t="s">
        <v>1172</v>
      </c>
      <c r="AQ159" s="80" t="s">
        <v>1173</v>
      </c>
      <c r="AR159" s="70">
        <v>4200004003</v>
      </c>
      <c r="AS159" s="59"/>
      <c r="AT159" s="116"/>
    </row>
    <row r="160" spans="1:46" ht="22.5" x14ac:dyDescent="0.25">
      <c r="A160" s="14" t="s">
        <v>1174</v>
      </c>
      <c r="B160" s="15" t="s">
        <v>176</v>
      </c>
      <c r="C160" s="15" t="s">
        <v>1175</v>
      </c>
      <c r="D160" s="15" t="s">
        <v>502</v>
      </c>
      <c r="E160" s="15" t="s">
        <v>120</v>
      </c>
      <c r="F160" s="49" t="s">
        <v>1176</v>
      </c>
      <c r="G160" s="17">
        <v>900086521</v>
      </c>
      <c r="H160" s="17">
        <v>1</v>
      </c>
      <c r="I160" s="18" t="s">
        <v>1177</v>
      </c>
      <c r="J160" s="104" t="s">
        <v>1178</v>
      </c>
      <c r="K160" s="15" t="s">
        <v>124</v>
      </c>
      <c r="L160" s="134"/>
      <c r="M160" s="55">
        <v>38572512</v>
      </c>
      <c r="N160" s="50">
        <v>161418</v>
      </c>
      <c r="O160" s="50"/>
      <c r="P160" s="51">
        <v>0</v>
      </c>
      <c r="Q160" s="21">
        <f t="shared" si="13"/>
        <v>38572512</v>
      </c>
      <c r="R160" s="23"/>
      <c r="S160" s="23">
        <f t="shared" si="7"/>
        <v>38572512</v>
      </c>
      <c r="T160" s="115"/>
      <c r="U160" s="26">
        <v>43384</v>
      </c>
      <c r="V160" s="26">
        <v>43384</v>
      </c>
      <c r="W160" s="25">
        <v>43392</v>
      </c>
      <c r="X160" s="104">
        <f t="shared" si="11"/>
        <v>8</v>
      </c>
      <c r="Y160" s="25">
        <v>43646</v>
      </c>
      <c r="Z160" s="25">
        <v>43403</v>
      </c>
      <c r="AA160" s="25"/>
      <c r="AB160" s="15" t="s">
        <v>51</v>
      </c>
      <c r="AC160" s="26">
        <v>43567</v>
      </c>
      <c r="AD160" s="26"/>
      <c r="AE160" s="26" t="s">
        <v>686</v>
      </c>
      <c r="AF160" s="60"/>
      <c r="AG160" s="29" t="s">
        <v>538</v>
      </c>
      <c r="AH160" s="29" t="s">
        <v>549</v>
      </c>
      <c r="AI160" s="29">
        <v>43391</v>
      </c>
      <c r="AJ160" s="70">
        <v>1016033421</v>
      </c>
      <c r="AK160" s="29" t="s">
        <v>126</v>
      </c>
      <c r="AL160" s="29">
        <v>43389</v>
      </c>
      <c r="AM160" s="27" t="s">
        <v>127</v>
      </c>
      <c r="AN160" s="70" t="s">
        <v>1179</v>
      </c>
      <c r="AO160" s="27" t="s">
        <v>305</v>
      </c>
      <c r="AP160" s="107" t="s">
        <v>434</v>
      </c>
      <c r="AQ160" s="80">
        <f>7714502.4+19286256+1928625.6+156248400</f>
        <v>185177784</v>
      </c>
      <c r="AR160" s="70">
        <v>4000001267</v>
      </c>
      <c r="AS160" s="59" t="s">
        <v>843</v>
      </c>
      <c r="AT160" s="31" t="s">
        <v>1180</v>
      </c>
    </row>
    <row r="161" spans="1:46" ht="33.75" x14ac:dyDescent="0.25">
      <c r="A161" s="14" t="s">
        <v>1181</v>
      </c>
      <c r="B161" s="15" t="s">
        <v>399</v>
      </c>
      <c r="C161" s="15" t="s">
        <v>1182</v>
      </c>
      <c r="D161" s="15" t="s">
        <v>1183</v>
      </c>
      <c r="E161" s="15" t="s">
        <v>120</v>
      </c>
      <c r="F161" s="49" t="s">
        <v>846</v>
      </c>
      <c r="G161" s="17">
        <v>800239963</v>
      </c>
      <c r="H161" s="17">
        <v>7</v>
      </c>
      <c r="I161" s="18" t="s">
        <v>1184</v>
      </c>
      <c r="J161" s="104" t="s">
        <v>1178</v>
      </c>
      <c r="K161" s="15" t="s">
        <v>124</v>
      </c>
      <c r="L161" s="134"/>
      <c r="M161" s="55">
        <v>127561593</v>
      </c>
      <c r="N161" s="50">
        <v>161618</v>
      </c>
      <c r="O161" s="50"/>
      <c r="P161" s="51">
        <v>0</v>
      </c>
      <c r="Q161" s="21">
        <f t="shared" si="13"/>
        <v>127561593</v>
      </c>
      <c r="R161" s="23"/>
      <c r="S161" s="23">
        <f t="shared" si="7"/>
        <v>127561593</v>
      </c>
      <c r="T161" s="115"/>
      <c r="U161" s="26">
        <v>43385</v>
      </c>
      <c r="V161" s="26">
        <v>43385</v>
      </c>
      <c r="W161" s="25">
        <v>43392</v>
      </c>
      <c r="X161" s="104">
        <f t="shared" si="11"/>
        <v>7</v>
      </c>
      <c r="Y161" s="25">
        <v>43515</v>
      </c>
      <c r="Z161" s="25"/>
      <c r="AA161" s="25"/>
      <c r="AB161" s="15" t="s">
        <v>51</v>
      </c>
      <c r="AC161" s="26">
        <v>43559</v>
      </c>
      <c r="AD161" s="26" t="s">
        <v>52</v>
      </c>
      <c r="AE161" s="26" t="s">
        <v>686</v>
      </c>
      <c r="AF161" s="60"/>
      <c r="AG161" s="29" t="s">
        <v>137</v>
      </c>
      <c r="AH161" s="29" t="s">
        <v>549</v>
      </c>
      <c r="AI161" s="29">
        <v>43391</v>
      </c>
      <c r="AJ161" s="70">
        <v>1016033421</v>
      </c>
      <c r="AK161" s="29" t="s">
        <v>126</v>
      </c>
      <c r="AL161" s="29">
        <v>43390</v>
      </c>
      <c r="AM161" s="27" t="s">
        <v>127</v>
      </c>
      <c r="AN161" s="70" t="s">
        <v>1185</v>
      </c>
      <c r="AO161" s="27" t="s">
        <v>305</v>
      </c>
      <c r="AP161" s="107" t="s">
        <v>1186</v>
      </c>
      <c r="AQ161" s="80">
        <f>25512318.6+63780796.5+6378079.65+156248400</f>
        <v>251919594.75</v>
      </c>
      <c r="AR161" s="70">
        <v>400001266</v>
      </c>
      <c r="AS161" s="59" t="s">
        <v>1187</v>
      </c>
      <c r="AT161" s="31" t="s">
        <v>1188</v>
      </c>
    </row>
    <row r="162" spans="1:46" ht="33.75" x14ac:dyDescent="0.25">
      <c r="A162" s="14" t="s">
        <v>1189</v>
      </c>
      <c r="B162" s="15" t="s">
        <v>176</v>
      </c>
      <c r="C162" s="15" t="s">
        <v>1190</v>
      </c>
      <c r="D162" s="15" t="s">
        <v>266</v>
      </c>
      <c r="E162" s="15" t="s">
        <v>628</v>
      </c>
      <c r="F162" s="49" t="s">
        <v>1191</v>
      </c>
      <c r="G162" s="17" t="s">
        <v>1192</v>
      </c>
      <c r="H162" s="17"/>
      <c r="I162" s="18" t="s">
        <v>1193</v>
      </c>
      <c r="J162" s="104" t="s">
        <v>1194</v>
      </c>
      <c r="K162" s="15" t="s">
        <v>1195</v>
      </c>
      <c r="L162" s="134">
        <v>43449</v>
      </c>
      <c r="M162" s="22">
        <v>59361623</v>
      </c>
      <c r="N162" s="104">
        <v>161718</v>
      </c>
      <c r="O162" s="50"/>
      <c r="P162" s="51">
        <v>0</v>
      </c>
      <c r="Q162" s="21">
        <f t="shared" si="13"/>
        <v>59361623</v>
      </c>
      <c r="R162" s="23"/>
      <c r="S162" s="23">
        <f t="shared" si="7"/>
        <v>59361623</v>
      </c>
      <c r="T162" s="115"/>
      <c r="U162" s="26">
        <v>43385</v>
      </c>
      <c r="V162" s="26">
        <v>43385</v>
      </c>
      <c r="W162" s="25">
        <v>43392</v>
      </c>
      <c r="X162" s="104"/>
      <c r="Y162" s="25">
        <v>43515</v>
      </c>
      <c r="Z162" s="25"/>
      <c r="AA162" s="25"/>
      <c r="AB162" s="15" t="s">
        <v>51</v>
      </c>
      <c r="AC162" s="26">
        <v>43516</v>
      </c>
      <c r="AD162" s="26"/>
      <c r="AE162" s="26"/>
      <c r="AF162" s="60"/>
      <c r="AG162" s="29" t="s">
        <v>538</v>
      </c>
      <c r="AH162" s="29" t="s">
        <v>549</v>
      </c>
      <c r="AI162" s="29">
        <v>43402</v>
      </c>
      <c r="AJ162" s="70">
        <v>1016033421</v>
      </c>
      <c r="AK162" s="29" t="s">
        <v>126</v>
      </c>
      <c r="AL162" s="29">
        <v>43390</v>
      </c>
      <c r="AM162" s="27" t="s">
        <v>522</v>
      </c>
      <c r="AN162" s="70" t="s">
        <v>1196</v>
      </c>
      <c r="AO162" s="27" t="s">
        <v>305</v>
      </c>
      <c r="AP162" s="107" t="s">
        <v>1197</v>
      </c>
      <c r="AQ162" s="80" t="s">
        <v>1198</v>
      </c>
      <c r="AR162" s="70">
        <v>400001269</v>
      </c>
      <c r="AS162" s="59"/>
      <c r="AT162" s="31"/>
    </row>
    <row r="163" spans="1:46" ht="33.75" x14ac:dyDescent="0.25">
      <c r="A163" s="14" t="s">
        <v>1199</v>
      </c>
      <c r="B163" s="15" t="s">
        <v>176</v>
      </c>
      <c r="C163" s="15" t="s">
        <v>1200</v>
      </c>
      <c r="D163" s="15" t="s">
        <v>502</v>
      </c>
      <c r="E163" s="15" t="s">
        <v>794</v>
      </c>
      <c r="F163" s="16" t="s">
        <v>1201</v>
      </c>
      <c r="G163" s="17" t="s">
        <v>1202</v>
      </c>
      <c r="H163" s="15"/>
      <c r="I163" s="49" t="s">
        <v>1203</v>
      </c>
      <c r="J163" s="15" t="s">
        <v>1204</v>
      </c>
      <c r="K163" s="15" t="s">
        <v>124</v>
      </c>
      <c r="L163" s="134">
        <v>43449</v>
      </c>
      <c r="M163" s="22">
        <v>44765141</v>
      </c>
      <c r="N163" s="104">
        <v>161818</v>
      </c>
      <c r="O163" s="104"/>
      <c r="P163" s="115"/>
      <c r="Q163" s="21">
        <f t="shared" si="13"/>
        <v>44765141</v>
      </c>
      <c r="R163" s="22"/>
      <c r="S163" s="23">
        <f t="shared" si="7"/>
        <v>44765141</v>
      </c>
      <c r="T163" s="15"/>
      <c r="U163" s="25">
        <v>43385</v>
      </c>
      <c r="V163" s="26">
        <v>43389</v>
      </c>
      <c r="W163" s="25">
        <v>43392</v>
      </c>
      <c r="X163" s="104">
        <f t="shared" si="11"/>
        <v>3</v>
      </c>
      <c r="Y163" s="25">
        <f>W163+120</f>
        <v>43512</v>
      </c>
      <c r="Z163" s="26" t="s">
        <v>480</v>
      </c>
      <c r="AA163" s="26"/>
      <c r="AB163" s="15" t="s">
        <v>51</v>
      </c>
      <c r="AC163" s="26">
        <v>43559</v>
      </c>
      <c r="AD163" s="26" t="s">
        <v>52</v>
      </c>
      <c r="AE163" s="154" t="s">
        <v>686</v>
      </c>
      <c r="AF163" s="154"/>
      <c r="AG163" s="27" t="s">
        <v>538</v>
      </c>
      <c r="AH163" s="29" t="s">
        <v>549</v>
      </c>
      <c r="AI163" s="29">
        <v>43389</v>
      </c>
      <c r="AJ163" s="28">
        <v>1016033421</v>
      </c>
      <c r="AK163" s="29" t="s">
        <v>126</v>
      </c>
      <c r="AL163" s="29">
        <v>43389</v>
      </c>
      <c r="AM163" s="27" t="s">
        <v>1205</v>
      </c>
      <c r="AN163" s="70" t="s">
        <v>1206</v>
      </c>
      <c r="AO163" s="27" t="s">
        <v>305</v>
      </c>
      <c r="AP163" s="107" t="s">
        <v>1207</v>
      </c>
      <c r="AQ163" s="80">
        <f>156248400+2238257+22382571+8953028</f>
        <v>189822256</v>
      </c>
      <c r="AR163" s="70">
        <v>4000001270</v>
      </c>
      <c r="AS163" s="59" t="s">
        <v>1208</v>
      </c>
      <c r="AT163" s="31" t="s">
        <v>1209</v>
      </c>
    </row>
    <row r="164" spans="1:46" ht="33.75" x14ac:dyDescent="0.25">
      <c r="A164" s="14" t="s">
        <v>1210</v>
      </c>
      <c r="B164" s="15" t="s">
        <v>399</v>
      </c>
      <c r="C164" s="15" t="s">
        <v>1182</v>
      </c>
      <c r="D164" s="15" t="s">
        <v>1183</v>
      </c>
      <c r="E164" s="15" t="s">
        <v>120</v>
      </c>
      <c r="F164" s="49" t="s">
        <v>1211</v>
      </c>
      <c r="G164" s="17">
        <v>900370262</v>
      </c>
      <c r="H164" s="17">
        <v>4</v>
      </c>
      <c r="I164" s="18" t="s">
        <v>1212</v>
      </c>
      <c r="J164" s="104" t="s">
        <v>1178</v>
      </c>
      <c r="K164" s="15" t="s">
        <v>124</v>
      </c>
      <c r="L164" s="134"/>
      <c r="M164" s="55">
        <v>70957971</v>
      </c>
      <c r="N164" s="50">
        <v>165518</v>
      </c>
      <c r="O164" s="50"/>
      <c r="P164" s="51">
        <v>0</v>
      </c>
      <c r="Q164" s="21">
        <f t="shared" si="13"/>
        <v>70957971</v>
      </c>
      <c r="R164" s="23"/>
      <c r="S164" s="23">
        <f t="shared" si="7"/>
        <v>70957971</v>
      </c>
      <c r="T164" s="115"/>
      <c r="U164" s="26">
        <v>43385</v>
      </c>
      <c r="V164" s="26">
        <v>43385</v>
      </c>
      <c r="W164" s="25">
        <v>43392</v>
      </c>
      <c r="X164" s="104">
        <f t="shared" si="11"/>
        <v>7</v>
      </c>
      <c r="Y164" s="25">
        <v>43515</v>
      </c>
      <c r="Z164" s="25"/>
      <c r="AA164" s="25"/>
      <c r="AB164" s="15" t="s">
        <v>51</v>
      </c>
      <c r="AC164" s="26">
        <v>43549</v>
      </c>
      <c r="AD164" s="26"/>
      <c r="AE164" s="154" t="s">
        <v>686</v>
      </c>
      <c r="AF164" s="60"/>
      <c r="AG164" s="29" t="s">
        <v>137</v>
      </c>
      <c r="AH164" s="29" t="s">
        <v>549</v>
      </c>
      <c r="AI164" s="29">
        <v>43390</v>
      </c>
      <c r="AJ164" s="28">
        <v>1016033421</v>
      </c>
      <c r="AK164" s="29" t="s">
        <v>126</v>
      </c>
      <c r="AL164" s="29">
        <v>43389</v>
      </c>
      <c r="AM164" s="27" t="s">
        <v>127</v>
      </c>
      <c r="AN164" s="70" t="s">
        <v>1213</v>
      </c>
      <c r="AO164" s="27" t="s">
        <v>305</v>
      </c>
      <c r="AP164" s="107" t="s">
        <v>1214</v>
      </c>
      <c r="AQ164" s="80">
        <f>14191594.2+35478985.5+3547898.55+156248400</f>
        <v>209466878.25</v>
      </c>
      <c r="AR164" s="70">
        <v>400001272</v>
      </c>
      <c r="AS164" s="59" t="s">
        <v>1187</v>
      </c>
      <c r="AT164" s="31" t="s">
        <v>1215</v>
      </c>
    </row>
    <row r="165" spans="1:46" ht="45" x14ac:dyDescent="0.25">
      <c r="A165" s="14" t="s">
        <v>1216</v>
      </c>
      <c r="B165" s="15" t="s">
        <v>176</v>
      </c>
      <c r="C165" s="15" t="s">
        <v>1217</v>
      </c>
      <c r="D165" s="15" t="s">
        <v>574</v>
      </c>
      <c r="E165" s="15" t="s">
        <v>332</v>
      </c>
      <c r="F165" s="49" t="s">
        <v>1218</v>
      </c>
      <c r="G165" s="17">
        <v>900086521</v>
      </c>
      <c r="H165" s="17">
        <v>1</v>
      </c>
      <c r="I165" s="18" t="s">
        <v>1219</v>
      </c>
      <c r="J165" s="104" t="s">
        <v>1220</v>
      </c>
      <c r="K165" s="15" t="s">
        <v>1221</v>
      </c>
      <c r="L165" s="134"/>
      <c r="M165" s="55">
        <v>17534400</v>
      </c>
      <c r="N165" s="50">
        <v>165418</v>
      </c>
      <c r="O165" s="154"/>
      <c r="P165" s="51">
        <v>0</v>
      </c>
      <c r="Q165" s="21">
        <v>17534400</v>
      </c>
      <c r="R165" s="22">
        <v>17534400</v>
      </c>
      <c r="S165" s="23">
        <v>0</v>
      </c>
      <c r="T165" s="115"/>
      <c r="U165" s="26">
        <v>43385</v>
      </c>
      <c r="V165" s="26">
        <v>43390</v>
      </c>
      <c r="W165" s="25">
        <v>43392</v>
      </c>
      <c r="X165" s="104"/>
      <c r="Y165" s="25">
        <v>43515</v>
      </c>
      <c r="Z165" s="25">
        <v>43403</v>
      </c>
      <c r="AA165" s="25"/>
      <c r="AB165" s="15" t="s">
        <v>51</v>
      </c>
      <c r="AC165" s="26">
        <v>43567</v>
      </c>
      <c r="AD165" s="26"/>
      <c r="AE165" s="154" t="s">
        <v>686</v>
      </c>
      <c r="AF165" s="60"/>
      <c r="AG165" s="29" t="s">
        <v>538</v>
      </c>
      <c r="AH165" s="29" t="s">
        <v>549</v>
      </c>
      <c r="AI165" s="29">
        <v>43391</v>
      </c>
      <c r="AJ165" s="70">
        <v>1016033421</v>
      </c>
      <c r="AK165" s="29" t="s">
        <v>1222</v>
      </c>
      <c r="AL165" s="29">
        <v>43389</v>
      </c>
      <c r="AM165" s="27" t="s">
        <v>127</v>
      </c>
      <c r="AN165" s="70" t="s">
        <v>1223</v>
      </c>
      <c r="AO165" s="27" t="s">
        <v>1224</v>
      </c>
      <c r="AP165" s="107">
        <v>0.75</v>
      </c>
      <c r="AQ165" s="80">
        <v>17534400</v>
      </c>
      <c r="AR165" s="70">
        <v>600000235</v>
      </c>
      <c r="AS165" s="59" t="s">
        <v>1225</v>
      </c>
      <c r="AT165" s="116">
        <v>20186030259853</v>
      </c>
    </row>
    <row r="166" spans="1:46" ht="33.75" x14ac:dyDescent="0.25">
      <c r="A166" s="14" t="s">
        <v>1226</v>
      </c>
      <c r="B166" s="15" t="s">
        <v>399</v>
      </c>
      <c r="C166" s="15" t="s">
        <v>1182</v>
      </c>
      <c r="D166" s="15" t="s">
        <v>1183</v>
      </c>
      <c r="E166" s="15" t="s">
        <v>120</v>
      </c>
      <c r="F166" s="49" t="s">
        <v>1227</v>
      </c>
      <c r="G166" s="17">
        <v>901223468</v>
      </c>
      <c r="H166" s="17">
        <v>9</v>
      </c>
      <c r="I166" s="155" t="s">
        <v>1228</v>
      </c>
      <c r="J166" s="104" t="s">
        <v>1178</v>
      </c>
      <c r="K166" s="15" t="s">
        <v>124</v>
      </c>
      <c r="L166" s="134">
        <v>43449</v>
      </c>
      <c r="M166" s="55">
        <v>1429552819</v>
      </c>
      <c r="N166" s="50"/>
      <c r="O166" s="50"/>
      <c r="P166" s="51">
        <v>0</v>
      </c>
      <c r="Q166" s="21">
        <f t="shared" si="13"/>
        <v>1429552819</v>
      </c>
      <c r="R166" s="23"/>
      <c r="S166" s="23">
        <f t="shared" si="7"/>
        <v>1429552819</v>
      </c>
      <c r="T166" s="115"/>
      <c r="U166" s="26">
        <v>43385</v>
      </c>
      <c r="V166" s="26">
        <v>43385</v>
      </c>
      <c r="W166" s="25">
        <v>43392</v>
      </c>
      <c r="X166" s="104">
        <f t="shared" si="11"/>
        <v>7</v>
      </c>
      <c r="Y166" s="25">
        <v>43515</v>
      </c>
      <c r="Z166" s="25"/>
      <c r="AA166" s="25"/>
      <c r="AB166" s="15" t="s">
        <v>51</v>
      </c>
      <c r="AC166" s="26">
        <v>43518</v>
      </c>
      <c r="AD166" s="26"/>
      <c r="AE166" s="26"/>
      <c r="AF166" s="60"/>
      <c r="AG166" s="29" t="s">
        <v>137</v>
      </c>
      <c r="AH166" s="29"/>
      <c r="AI166" s="29"/>
      <c r="AJ166" s="46"/>
      <c r="AK166" s="46"/>
      <c r="AL166" s="29" t="s">
        <v>549</v>
      </c>
      <c r="AM166" s="143">
        <v>43392</v>
      </c>
      <c r="AN166" s="28">
        <v>1016033421</v>
      </c>
      <c r="AO166" s="29" t="s">
        <v>126</v>
      </c>
      <c r="AP166" s="29">
        <v>43392</v>
      </c>
      <c r="AQ166" s="27" t="s">
        <v>127</v>
      </c>
      <c r="AR166" s="70" t="s">
        <v>1229</v>
      </c>
      <c r="AS166" s="59" t="s">
        <v>1187</v>
      </c>
      <c r="AT166" s="31" t="s">
        <v>1230</v>
      </c>
    </row>
    <row r="167" spans="1:46" ht="33.75" x14ac:dyDescent="0.25">
      <c r="A167" s="14" t="s">
        <v>1231</v>
      </c>
      <c r="B167" s="15" t="s">
        <v>399</v>
      </c>
      <c r="C167" s="15" t="s">
        <v>1182</v>
      </c>
      <c r="D167" s="15" t="s">
        <v>1183</v>
      </c>
      <c r="E167" s="15" t="s">
        <v>120</v>
      </c>
      <c r="F167" s="49" t="s">
        <v>1232</v>
      </c>
      <c r="G167" s="17">
        <v>860035198</v>
      </c>
      <c r="H167" s="17">
        <v>0</v>
      </c>
      <c r="I167" s="155" t="s">
        <v>1233</v>
      </c>
      <c r="J167" s="104" t="s">
        <v>1178</v>
      </c>
      <c r="K167" s="15" t="s">
        <v>124</v>
      </c>
      <c r="L167" s="134">
        <v>43449</v>
      </c>
      <c r="M167" s="55">
        <v>42191226</v>
      </c>
      <c r="N167" s="50">
        <v>161918</v>
      </c>
      <c r="O167" s="50"/>
      <c r="P167" s="51">
        <v>0</v>
      </c>
      <c r="Q167" s="21">
        <f t="shared" si="13"/>
        <v>42191226</v>
      </c>
      <c r="R167" s="23"/>
      <c r="S167" s="23">
        <f t="shared" si="7"/>
        <v>42191226</v>
      </c>
      <c r="T167" s="115"/>
      <c r="U167" s="26">
        <v>43389</v>
      </c>
      <c r="V167" s="26"/>
      <c r="W167" s="25">
        <v>43397</v>
      </c>
      <c r="X167" s="104">
        <f t="shared" si="11"/>
        <v>42774</v>
      </c>
      <c r="Y167" s="25">
        <v>43515</v>
      </c>
      <c r="Z167" s="25"/>
      <c r="AA167" s="25"/>
      <c r="AB167" s="15" t="s">
        <v>51</v>
      </c>
      <c r="AC167" s="26">
        <v>43564</v>
      </c>
      <c r="AD167" s="26" t="s">
        <v>52</v>
      </c>
      <c r="AE167" s="26" t="s">
        <v>686</v>
      </c>
      <c r="AF167" s="60"/>
      <c r="AG167" s="29" t="s">
        <v>137</v>
      </c>
      <c r="AH167" s="29"/>
      <c r="AI167" s="29"/>
      <c r="AJ167" s="46"/>
      <c r="AK167" s="46"/>
      <c r="AL167" s="29" t="s">
        <v>549</v>
      </c>
      <c r="AM167" s="143">
        <v>43397</v>
      </c>
      <c r="AN167" s="28">
        <v>1016033421</v>
      </c>
      <c r="AO167" s="28" t="s">
        <v>385</v>
      </c>
      <c r="AP167" s="29">
        <v>43397</v>
      </c>
      <c r="AQ167" s="27" t="s">
        <v>127</v>
      </c>
      <c r="AR167" s="70" t="s">
        <v>1234</v>
      </c>
      <c r="AS167" s="59" t="s">
        <v>1187</v>
      </c>
      <c r="AT167" s="31" t="s">
        <v>1235</v>
      </c>
    </row>
    <row r="168" spans="1:46" ht="33.75" x14ac:dyDescent="0.25">
      <c r="A168" s="14" t="s">
        <v>1236</v>
      </c>
      <c r="B168" s="15" t="s">
        <v>176</v>
      </c>
      <c r="C168" s="15" t="s">
        <v>1237</v>
      </c>
      <c r="D168" s="15" t="s">
        <v>1238</v>
      </c>
      <c r="E168" s="15" t="s">
        <v>794</v>
      </c>
      <c r="F168" s="16" t="s">
        <v>1239</v>
      </c>
      <c r="G168" s="17">
        <v>800196349</v>
      </c>
      <c r="H168" s="15"/>
      <c r="I168" s="138" t="s">
        <v>1240</v>
      </c>
      <c r="J168" s="15"/>
      <c r="K168" s="15"/>
      <c r="L168" s="15"/>
      <c r="M168" s="22">
        <v>28054540</v>
      </c>
      <c r="N168" s="104">
        <v>166118</v>
      </c>
      <c r="O168" s="104"/>
      <c r="P168" s="115">
        <v>0</v>
      </c>
      <c r="Q168" s="21">
        <f t="shared" si="13"/>
        <v>28054540</v>
      </c>
      <c r="R168" s="22"/>
      <c r="S168" s="23">
        <f t="shared" si="7"/>
        <v>28054540</v>
      </c>
      <c r="T168" s="15"/>
      <c r="U168" s="26">
        <v>43391</v>
      </c>
      <c r="V168" s="26">
        <v>43403</v>
      </c>
      <c r="W168" s="26">
        <v>43449</v>
      </c>
      <c r="X168" s="104">
        <f>DAYS360(V168,W168)</f>
        <v>45</v>
      </c>
      <c r="Y168" s="25">
        <v>43570</v>
      </c>
      <c r="Z168" s="25" t="s">
        <v>480</v>
      </c>
      <c r="AA168" s="25"/>
      <c r="AB168" s="15" t="s">
        <v>302</v>
      </c>
      <c r="AC168" s="26">
        <v>43637</v>
      </c>
      <c r="AD168" s="154"/>
      <c r="AE168" s="154"/>
      <c r="AF168" s="154"/>
      <c r="AG168" s="27" t="s">
        <v>538</v>
      </c>
      <c r="AH168" s="29"/>
      <c r="AI168" s="29"/>
      <c r="AJ168" s="46"/>
      <c r="AK168" s="46"/>
      <c r="AL168" s="27" t="s">
        <v>1241</v>
      </c>
      <c r="AM168" s="143">
        <v>43395</v>
      </c>
      <c r="AN168" s="156">
        <v>39542479</v>
      </c>
      <c r="AO168" s="31" t="s">
        <v>385</v>
      </c>
      <c r="AP168" s="29">
        <v>43395</v>
      </c>
      <c r="AQ168" s="27" t="s">
        <v>127</v>
      </c>
      <c r="AR168" s="70" t="s">
        <v>1242</v>
      </c>
      <c r="AS168" s="59" t="s">
        <v>1243</v>
      </c>
      <c r="AT168" s="31" t="s">
        <v>1244</v>
      </c>
    </row>
    <row r="169" spans="1:46" ht="33.75" x14ac:dyDescent="0.25">
      <c r="A169" s="14" t="s">
        <v>1245</v>
      </c>
      <c r="B169" s="15" t="s">
        <v>176</v>
      </c>
      <c r="C169" s="15" t="s">
        <v>1246</v>
      </c>
      <c r="D169" s="15" t="s">
        <v>266</v>
      </c>
      <c r="E169" s="15" t="s">
        <v>332</v>
      </c>
      <c r="F169" s="49" t="s">
        <v>651</v>
      </c>
      <c r="G169" s="17">
        <v>800205914</v>
      </c>
      <c r="H169" s="17">
        <v>1</v>
      </c>
      <c r="I169" s="18" t="s">
        <v>1247</v>
      </c>
      <c r="J169" s="104" t="s">
        <v>1248</v>
      </c>
      <c r="K169" s="15" t="s">
        <v>1249</v>
      </c>
      <c r="L169" s="134"/>
      <c r="M169" s="55">
        <v>61053473</v>
      </c>
      <c r="N169" s="50">
        <v>170318</v>
      </c>
      <c r="O169" s="50"/>
      <c r="P169" s="51">
        <v>0</v>
      </c>
      <c r="Q169" s="21">
        <v>61053473</v>
      </c>
      <c r="R169" s="22">
        <v>61053473</v>
      </c>
      <c r="S169" s="23">
        <v>0</v>
      </c>
      <c r="T169" s="115"/>
      <c r="U169" s="26">
        <v>43395</v>
      </c>
      <c r="V169" s="26">
        <v>43395</v>
      </c>
      <c r="W169" s="25">
        <v>43449</v>
      </c>
      <c r="X169" s="104">
        <v>53</v>
      </c>
      <c r="Y169" s="25">
        <v>43197</v>
      </c>
      <c r="Z169" s="25"/>
      <c r="AA169" s="25"/>
      <c r="AB169" s="15" t="s">
        <v>302</v>
      </c>
      <c r="AC169" s="26">
        <v>43703</v>
      </c>
      <c r="AD169" s="26"/>
      <c r="AE169" s="26"/>
      <c r="AF169" s="60"/>
      <c r="AG169" s="29" t="s">
        <v>538</v>
      </c>
      <c r="AH169" s="29" t="s">
        <v>653</v>
      </c>
      <c r="AI169" s="29">
        <v>43399</v>
      </c>
      <c r="AJ169" s="70">
        <v>74244103</v>
      </c>
      <c r="AK169" s="29" t="s">
        <v>322</v>
      </c>
      <c r="AL169" s="29">
        <v>43396</v>
      </c>
      <c r="AM169" s="27" t="s">
        <v>522</v>
      </c>
      <c r="AN169" s="70" t="s">
        <v>1250</v>
      </c>
      <c r="AO169" s="27" t="s">
        <v>305</v>
      </c>
      <c r="AP169" s="107">
        <v>0.75</v>
      </c>
      <c r="AQ169" s="80">
        <v>58000801</v>
      </c>
      <c r="AR169" s="70">
        <v>700000490</v>
      </c>
      <c r="AS169" s="59"/>
      <c r="AT169" s="116">
        <v>20186030264163</v>
      </c>
    </row>
    <row r="170" spans="1:46" ht="33.75" x14ac:dyDescent="0.25">
      <c r="A170" s="14" t="s">
        <v>1251</v>
      </c>
      <c r="B170" s="15" t="s">
        <v>1252</v>
      </c>
      <c r="C170" s="15" t="s">
        <v>1253</v>
      </c>
      <c r="D170" s="15" t="s">
        <v>318</v>
      </c>
      <c r="E170" s="15" t="s">
        <v>794</v>
      </c>
      <c r="F170" s="16" t="s">
        <v>1254</v>
      </c>
      <c r="G170" s="17">
        <v>41649134</v>
      </c>
      <c r="H170" s="15"/>
      <c r="I170" s="138" t="s">
        <v>1255</v>
      </c>
      <c r="J170" s="15"/>
      <c r="K170" s="15"/>
      <c r="L170" s="15"/>
      <c r="M170" s="22">
        <v>17000000</v>
      </c>
      <c r="N170" s="104">
        <v>169218</v>
      </c>
      <c r="O170" s="104"/>
      <c r="P170" s="115">
        <v>0</v>
      </c>
      <c r="Q170" s="21">
        <f t="shared" si="13"/>
        <v>17000000</v>
      </c>
      <c r="R170" s="22">
        <v>8500000</v>
      </c>
      <c r="S170" s="23">
        <f t="shared" si="7"/>
        <v>8500000</v>
      </c>
      <c r="T170" s="15"/>
      <c r="U170" s="26">
        <v>43397</v>
      </c>
      <c r="V170" s="26">
        <v>43399</v>
      </c>
      <c r="W170" s="25">
        <v>43455</v>
      </c>
      <c r="X170" s="104">
        <f t="shared" si="11"/>
        <v>55</v>
      </c>
      <c r="Y170" s="25">
        <f>W170+120</f>
        <v>43575</v>
      </c>
      <c r="Z170" s="26" t="s">
        <v>480</v>
      </c>
      <c r="AA170" s="26"/>
      <c r="AB170" s="15" t="s">
        <v>51</v>
      </c>
      <c r="AC170" s="26">
        <v>43629</v>
      </c>
      <c r="AD170" s="154"/>
      <c r="AE170" s="154" t="s">
        <v>1156</v>
      </c>
      <c r="AF170" s="154"/>
      <c r="AG170" s="27" t="s">
        <v>335</v>
      </c>
      <c r="AH170" s="29"/>
      <c r="AI170" s="29"/>
      <c r="AJ170" s="46"/>
      <c r="AK170" s="46"/>
      <c r="AL170" s="31" t="s">
        <v>1256</v>
      </c>
      <c r="AM170" s="143">
        <v>43397</v>
      </c>
      <c r="AN170" s="156">
        <v>1064992688</v>
      </c>
      <c r="AO170" s="31" t="s">
        <v>385</v>
      </c>
      <c r="AP170" s="29">
        <v>43397</v>
      </c>
      <c r="AQ170" s="27" t="s">
        <v>323</v>
      </c>
      <c r="AR170" s="32" t="s">
        <v>1257</v>
      </c>
      <c r="AS170" s="59" t="s">
        <v>1258</v>
      </c>
      <c r="AT170" s="31" t="s">
        <v>1244</v>
      </c>
    </row>
    <row r="171" spans="1:46" ht="33.75" x14ac:dyDescent="0.25">
      <c r="A171" s="14" t="s">
        <v>1259</v>
      </c>
      <c r="B171" s="15" t="s">
        <v>176</v>
      </c>
      <c r="C171" s="15" t="s">
        <v>1260</v>
      </c>
      <c r="D171" s="15" t="s">
        <v>502</v>
      </c>
      <c r="E171" s="15" t="s">
        <v>794</v>
      </c>
      <c r="F171" s="16" t="s">
        <v>990</v>
      </c>
      <c r="G171" s="15" t="s">
        <v>1261</v>
      </c>
      <c r="H171" s="15"/>
      <c r="I171" s="138" t="s">
        <v>1262</v>
      </c>
      <c r="J171" s="104" t="s">
        <v>1178</v>
      </c>
      <c r="K171" s="15" t="s">
        <v>124</v>
      </c>
      <c r="L171" s="134">
        <v>43449</v>
      </c>
      <c r="M171" s="22">
        <v>18082350</v>
      </c>
      <c r="N171" s="104">
        <v>169118</v>
      </c>
      <c r="O171" s="104"/>
      <c r="P171" s="115">
        <v>0</v>
      </c>
      <c r="Q171" s="21">
        <f t="shared" si="13"/>
        <v>18082350</v>
      </c>
      <c r="R171" s="22"/>
      <c r="S171" s="23">
        <f t="shared" si="7"/>
        <v>18082350</v>
      </c>
      <c r="T171" s="15"/>
      <c r="U171" s="26">
        <v>43396</v>
      </c>
      <c r="V171" s="26">
        <v>43396</v>
      </c>
      <c r="W171" s="26">
        <v>43398</v>
      </c>
      <c r="X171" s="104">
        <f t="shared" si="11"/>
        <v>2</v>
      </c>
      <c r="Y171" s="25">
        <f>W171+120</f>
        <v>43518</v>
      </c>
      <c r="Z171" s="25"/>
      <c r="AA171" s="25"/>
      <c r="AB171" s="15" t="s">
        <v>51</v>
      </c>
      <c r="AC171" s="26">
        <v>43615</v>
      </c>
      <c r="AD171" s="26"/>
      <c r="AE171" s="154"/>
      <c r="AF171" s="154"/>
      <c r="AG171" s="27" t="s">
        <v>335</v>
      </c>
      <c r="AH171" s="29" t="s">
        <v>549</v>
      </c>
      <c r="AI171" s="29"/>
      <c r="AJ171" s="46"/>
      <c r="AK171" s="46"/>
      <c r="AL171" s="46"/>
      <c r="AM171" s="143">
        <v>43396</v>
      </c>
      <c r="AN171" s="28">
        <v>1016033921</v>
      </c>
      <c r="AO171" s="31" t="s">
        <v>385</v>
      </c>
      <c r="AP171" s="29">
        <v>43397</v>
      </c>
      <c r="AQ171" s="27" t="s">
        <v>323</v>
      </c>
      <c r="AR171" s="70" t="s">
        <v>1263</v>
      </c>
      <c r="AS171" s="59" t="s">
        <v>1264</v>
      </c>
      <c r="AT171" s="31" t="s">
        <v>1265</v>
      </c>
    </row>
    <row r="172" spans="1:46" ht="33.75" x14ac:dyDescent="0.25">
      <c r="A172" s="14" t="s">
        <v>1266</v>
      </c>
      <c r="B172" s="15" t="s">
        <v>176</v>
      </c>
      <c r="C172" s="15" t="s">
        <v>1267</v>
      </c>
      <c r="D172" s="15" t="s">
        <v>266</v>
      </c>
      <c r="E172" s="15" t="s">
        <v>628</v>
      </c>
      <c r="F172" s="49" t="s">
        <v>852</v>
      </c>
      <c r="G172" s="17">
        <v>79847793</v>
      </c>
      <c r="H172" s="17"/>
      <c r="I172" s="18" t="s">
        <v>1268</v>
      </c>
      <c r="J172" s="104" t="s">
        <v>1194</v>
      </c>
      <c r="K172" s="15" t="s">
        <v>1195</v>
      </c>
      <c r="L172" s="134">
        <v>43449</v>
      </c>
      <c r="M172" s="22">
        <v>65100000</v>
      </c>
      <c r="N172" s="104">
        <v>169418</v>
      </c>
      <c r="O172" s="104"/>
      <c r="P172" s="115">
        <v>0</v>
      </c>
      <c r="Q172" s="21">
        <f t="shared" si="13"/>
        <v>65100000</v>
      </c>
      <c r="R172" s="22"/>
      <c r="S172" s="23">
        <f t="shared" si="7"/>
        <v>65100000</v>
      </c>
      <c r="T172" s="15"/>
      <c r="U172" s="26">
        <v>43397</v>
      </c>
      <c r="V172" s="26">
        <v>43402</v>
      </c>
      <c r="W172" s="26">
        <v>43406</v>
      </c>
      <c r="X172" s="104">
        <f t="shared" si="11"/>
        <v>3</v>
      </c>
      <c r="Y172" s="25">
        <v>43526</v>
      </c>
      <c r="Z172" s="25"/>
      <c r="AA172" s="25"/>
      <c r="AB172" s="15" t="s">
        <v>51</v>
      </c>
      <c r="AC172" s="26">
        <v>43528</v>
      </c>
      <c r="AD172" s="26" t="s">
        <v>52</v>
      </c>
      <c r="AE172" s="154"/>
      <c r="AF172" s="154"/>
      <c r="AG172" s="27" t="s">
        <v>335</v>
      </c>
      <c r="AH172" s="29" t="s">
        <v>549</v>
      </c>
      <c r="AI172" s="29"/>
      <c r="AJ172" s="46"/>
      <c r="AK172" s="46"/>
      <c r="AL172" s="46"/>
      <c r="AM172" s="143">
        <v>43402</v>
      </c>
      <c r="AN172" s="28">
        <v>1016033421</v>
      </c>
      <c r="AO172" s="31" t="s">
        <v>126</v>
      </c>
      <c r="AP172" s="29">
        <v>43402</v>
      </c>
      <c r="AQ172" s="31" t="s">
        <v>95</v>
      </c>
      <c r="AR172" s="70" t="s">
        <v>1269</v>
      </c>
      <c r="AS172" s="59"/>
      <c r="AT172" s="31"/>
    </row>
    <row r="173" spans="1:46" ht="33.75" x14ac:dyDescent="0.25">
      <c r="A173" s="14" t="s">
        <v>1270</v>
      </c>
      <c r="B173" s="15" t="s">
        <v>176</v>
      </c>
      <c r="C173" s="15" t="s">
        <v>1267</v>
      </c>
      <c r="D173" s="15" t="s">
        <v>266</v>
      </c>
      <c r="E173" s="15" t="s">
        <v>628</v>
      </c>
      <c r="F173" s="49" t="s">
        <v>852</v>
      </c>
      <c r="G173" s="17">
        <v>79847793</v>
      </c>
      <c r="H173" s="17"/>
      <c r="I173" s="18" t="s">
        <v>1268</v>
      </c>
      <c r="J173" s="104"/>
      <c r="K173" s="15"/>
      <c r="L173" s="134"/>
      <c r="M173" s="22"/>
      <c r="N173" s="104"/>
      <c r="O173" s="104"/>
      <c r="P173" s="15">
        <v>14168364</v>
      </c>
      <c r="Q173" s="21">
        <f t="shared" si="13"/>
        <v>14168364</v>
      </c>
      <c r="R173" s="22"/>
      <c r="S173" s="23"/>
      <c r="T173" s="15"/>
      <c r="U173" s="26"/>
      <c r="V173" s="26"/>
      <c r="W173" s="26"/>
      <c r="X173" s="104"/>
      <c r="Y173" s="25"/>
      <c r="Z173" s="25"/>
      <c r="AA173" s="25"/>
      <c r="AB173" s="15" t="s">
        <v>51</v>
      </c>
      <c r="AC173" s="26">
        <v>43528</v>
      </c>
      <c r="AD173" s="26" t="s">
        <v>52</v>
      </c>
      <c r="AE173" s="154"/>
      <c r="AF173" s="154"/>
      <c r="AG173" s="27"/>
      <c r="AH173" s="29"/>
      <c r="AI173" s="29"/>
      <c r="AJ173" s="46"/>
      <c r="AK173" s="46"/>
      <c r="AL173" s="46"/>
      <c r="AM173" s="143"/>
      <c r="AN173" s="28"/>
      <c r="AO173" s="31"/>
      <c r="AP173" s="29"/>
      <c r="AQ173" s="31"/>
      <c r="AR173" s="70"/>
      <c r="AS173" s="59"/>
      <c r="AT173" s="31"/>
    </row>
    <row r="174" spans="1:46" ht="22.5" x14ac:dyDescent="0.25">
      <c r="A174" s="14" t="s">
        <v>1271</v>
      </c>
      <c r="B174" s="15" t="s">
        <v>176</v>
      </c>
      <c r="C174" s="15" t="s">
        <v>1272</v>
      </c>
      <c r="D174" s="15" t="s">
        <v>266</v>
      </c>
      <c r="E174" s="15" t="s">
        <v>280</v>
      </c>
      <c r="F174" s="49" t="s">
        <v>1273</v>
      </c>
      <c r="G174" s="17" t="s">
        <v>1274</v>
      </c>
      <c r="H174" s="17"/>
      <c r="I174" s="18" t="s">
        <v>1275</v>
      </c>
      <c r="J174" s="104" t="s">
        <v>1194</v>
      </c>
      <c r="K174" s="15" t="s">
        <v>1195</v>
      </c>
      <c r="L174" s="134">
        <v>43449</v>
      </c>
      <c r="M174" s="22">
        <v>33297020</v>
      </c>
      <c r="N174" s="104">
        <v>169318</v>
      </c>
      <c r="O174" s="104"/>
      <c r="P174" s="115">
        <v>0</v>
      </c>
      <c r="Q174" s="21">
        <f t="shared" si="13"/>
        <v>33297020</v>
      </c>
      <c r="R174" s="22"/>
      <c r="S174" s="23">
        <f t="shared" ref="S174:S179" si="14">Q174-R174</f>
        <v>33297020</v>
      </c>
      <c r="T174" s="15"/>
      <c r="U174" s="26">
        <v>43397</v>
      </c>
      <c r="V174" s="26">
        <v>43397</v>
      </c>
      <c r="W174" s="26">
        <v>43398</v>
      </c>
      <c r="X174" s="104">
        <f t="shared" si="11"/>
        <v>1</v>
      </c>
      <c r="Y174" s="25">
        <v>43521</v>
      </c>
      <c r="Z174" s="25"/>
      <c r="AA174" s="25"/>
      <c r="AB174" s="15" t="s">
        <v>51</v>
      </c>
      <c r="AC174" s="25">
        <v>43655</v>
      </c>
      <c r="AD174" s="154"/>
      <c r="AE174" s="154"/>
      <c r="AF174" s="154"/>
      <c r="AG174" s="27" t="s">
        <v>335</v>
      </c>
      <c r="AH174" s="29" t="s">
        <v>549</v>
      </c>
      <c r="AI174" s="29"/>
      <c r="AJ174" s="46"/>
      <c r="AK174" s="46"/>
      <c r="AL174" s="46"/>
      <c r="AM174" s="143">
        <v>43402</v>
      </c>
      <c r="AN174" s="28">
        <v>1016033421</v>
      </c>
      <c r="AO174" s="31" t="s">
        <v>126</v>
      </c>
      <c r="AP174" s="29">
        <v>43403</v>
      </c>
      <c r="AQ174" s="31" t="s">
        <v>95</v>
      </c>
      <c r="AR174" s="70" t="s">
        <v>1276</v>
      </c>
      <c r="AS174" s="59"/>
      <c r="AT174" s="31"/>
    </row>
    <row r="175" spans="1:46" ht="22.5" x14ac:dyDescent="0.25">
      <c r="A175" s="14" t="s">
        <v>1277</v>
      </c>
      <c r="B175" s="15" t="s">
        <v>176</v>
      </c>
      <c r="C175" s="15" t="s">
        <v>1278</v>
      </c>
      <c r="D175" s="15" t="s">
        <v>502</v>
      </c>
      <c r="E175" s="15" t="s">
        <v>794</v>
      </c>
      <c r="F175" s="16" t="s">
        <v>1279</v>
      </c>
      <c r="G175" s="15" t="s">
        <v>1192</v>
      </c>
      <c r="H175" s="15"/>
      <c r="I175" s="49" t="s">
        <v>1280</v>
      </c>
      <c r="J175" s="104" t="s">
        <v>1178</v>
      </c>
      <c r="K175" s="15" t="s">
        <v>124</v>
      </c>
      <c r="L175" s="134">
        <v>43449</v>
      </c>
      <c r="M175" s="22">
        <v>20526488</v>
      </c>
      <c r="N175" s="104">
        <v>17118</v>
      </c>
      <c r="O175" s="104"/>
      <c r="P175" s="115">
        <v>0</v>
      </c>
      <c r="Q175" s="22">
        <f t="shared" si="13"/>
        <v>20526488</v>
      </c>
      <c r="R175" s="22">
        <v>20526488</v>
      </c>
      <c r="S175" s="23">
        <f t="shared" si="14"/>
        <v>0</v>
      </c>
      <c r="T175" s="15"/>
      <c r="U175" s="26">
        <v>43397</v>
      </c>
      <c r="V175" s="26">
        <v>43397</v>
      </c>
      <c r="W175" s="26">
        <v>43410</v>
      </c>
      <c r="X175" s="104">
        <f t="shared" si="11"/>
        <v>12</v>
      </c>
      <c r="Y175" s="25">
        <v>43530</v>
      </c>
      <c r="Z175" s="25">
        <v>43410</v>
      </c>
      <c r="AA175" s="25"/>
      <c r="AB175" s="15" t="s">
        <v>51</v>
      </c>
      <c r="AC175" s="26">
        <v>43516</v>
      </c>
      <c r="AD175" s="26"/>
      <c r="AE175" s="154"/>
      <c r="AF175" s="154"/>
      <c r="AG175" s="27" t="s">
        <v>335</v>
      </c>
      <c r="AH175" s="29" t="s">
        <v>549</v>
      </c>
      <c r="AI175" s="29"/>
      <c r="AJ175" s="46"/>
      <c r="AK175" s="46"/>
      <c r="AL175" s="46"/>
      <c r="AM175" s="143">
        <v>43397</v>
      </c>
      <c r="AN175" s="28">
        <v>1016033921</v>
      </c>
      <c r="AO175" s="31" t="s">
        <v>385</v>
      </c>
      <c r="AP175" s="143">
        <v>43399</v>
      </c>
      <c r="AQ175" s="27" t="s">
        <v>1281</v>
      </c>
      <c r="AR175" s="27" t="s">
        <v>1282</v>
      </c>
      <c r="AS175" s="59" t="s">
        <v>1283</v>
      </c>
      <c r="AT175" s="31" t="s">
        <v>1284</v>
      </c>
    </row>
    <row r="176" spans="1:46" ht="33.75" x14ac:dyDescent="0.25">
      <c r="A176" s="14" t="s">
        <v>1285</v>
      </c>
      <c r="B176" s="15" t="s">
        <v>176</v>
      </c>
      <c r="C176" s="15" t="s">
        <v>1286</v>
      </c>
      <c r="D176" s="15" t="s">
        <v>266</v>
      </c>
      <c r="E176" s="15" t="s">
        <v>628</v>
      </c>
      <c r="F176" s="49" t="s">
        <v>1287</v>
      </c>
      <c r="G176" s="17" t="s">
        <v>1288</v>
      </c>
      <c r="H176" s="17"/>
      <c r="I176" s="18" t="s">
        <v>1289</v>
      </c>
      <c r="J176" s="104" t="s">
        <v>1194</v>
      </c>
      <c r="K176" s="15" t="s">
        <v>1195</v>
      </c>
      <c r="L176" s="134">
        <v>43449</v>
      </c>
      <c r="M176" s="22">
        <v>28235371</v>
      </c>
      <c r="N176" s="104">
        <v>170418</v>
      </c>
      <c r="O176" s="104"/>
      <c r="P176" s="115">
        <v>0</v>
      </c>
      <c r="Q176" s="21">
        <f t="shared" si="13"/>
        <v>28235371</v>
      </c>
      <c r="R176" s="22"/>
      <c r="S176" s="23">
        <f t="shared" si="14"/>
        <v>28235371</v>
      </c>
      <c r="T176" s="15"/>
      <c r="U176" s="26">
        <v>43399</v>
      </c>
      <c r="V176" s="26">
        <v>43402</v>
      </c>
      <c r="W176" s="26">
        <v>43403</v>
      </c>
      <c r="X176" s="104">
        <f t="shared" si="11"/>
        <v>1</v>
      </c>
      <c r="Y176" s="25">
        <v>43526</v>
      </c>
      <c r="Z176" s="25"/>
      <c r="AA176" s="25"/>
      <c r="AB176" s="15" t="s">
        <v>51</v>
      </c>
      <c r="AC176" s="26">
        <v>43559</v>
      </c>
      <c r="AD176" s="26" t="s">
        <v>52</v>
      </c>
      <c r="AE176" s="15" t="s">
        <v>52</v>
      </c>
      <c r="AF176" s="15"/>
      <c r="AG176" s="29" t="s">
        <v>538</v>
      </c>
      <c r="AH176" s="29" t="s">
        <v>549</v>
      </c>
      <c r="AI176" s="29"/>
      <c r="AJ176" s="46"/>
      <c r="AK176" s="46"/>
      <c r="AL176" s="46"/>
      <c r="AM176" s="28">
        <v>43402</v>
      </c>
      <c r="AN176" s="28">
        <v>1016033921</v>
      </c>
      <c r="AO176" s="143" t="s">
        <v>126</v>
      </c>
      <c r="AP176" s="31"/>
      <c r="AQ176" s="27"/>
      <c r="AR176" s="27"/>
      <c r="AS176" s="59"/>
      <c r="AT176" s="31"/>
    </row>
    <row r="177" spans="1:46" ht="33.75" x14ac:dyDescent="0.25">
      <c r="A177" s="14" t="s">
        <v>1290</v>
      </c>
      <c r="B177" s="15" t="s">
        <v>176</v>
      </c>
      <c r="C177" s="15" t="s">
        <v>1286</v>
      </c>
      <c r="D177" s="15" t="s">
        <v>266</v>
      </c>
      <c r="E177" s="15" t="s">
        <v>628</v>
      </c>
      <c r="F177" s="49" t="s">
        <v>1291</v>
      </c>
      <c r="G177" s="17" t="s">
        <v>1292</v>
      </c>
      <c r="H177" s="17"/>
      <c r="I177" s="18" t="s">
        <v>1293</v>
      </c>
      <c r="J177" s="104" t="s">
        <v>1194</v>
      </c>
      <c r="K177" s="15" t="s">
        <v>1195</v>
      </c>
      <c r="L177" s="134">
        <v>43449</v>
      </c>
      <c r="M177" s="22">
        <v>16986450</v>
      </c>
      <c r="N177" s="104" t="s">
        <v>791</v>
      </c>
      <c r="O177" s="104"/>
      <c r="P177" s="115">
        <v>0</v>
      </c>
      <c r="Q177" s="21">
        <f t="shared" si="13"/>
        <v>16986450</v>
      </c>
      <c r="R177" s="22"/>
      <c r="S177" s="23">
        <f t="shared" si="14"/>
        <v>16986450</v>
      </c>
      <c r="T177" s="15"/>
      <c r="U177" s="26">
        <v>43399</v>
      </c>
      <c r="V177" s="26">
        <v>43402</v>
      </c>
      <c r="W177" s="26">
        <v>43403</v>
      </c>
      <c r="X177" s="104">
        <f t="shared" si="11"/>
        <v>1</v>
      </c>
      <c r="Y177" s="25">
        <v>43526</v>
      </c>
      <c r="Z177" s="25"/>
      <c r="AA177" s="25"/>
      <c r="AB177" s="15" t="s">
        <v>51</v>
      </c>
      <c r="AC177" s="26">
        <v>43563</v>
      </c>
      <c r="AD177" s="26"/>
      <c r="AE177" s="154"/>
      <c r="AF177" s="15"/>
      <c r="AG177" s="29" t="s">
        <v>538</v>
      </c>
      <c r="AH177" s="29" t="s">
        <v>549</v>
      </c>
      <c r="AI177" s="29"/>
      <c r="AJ177" s="46"/>
      <c r="AK177" s="46"/>
      <c r="AL177" s="46"/>
      <c r="AM177" s="28">
        <v>43402</v>
      </c>
      <c r="AN177" s="28">
        <v>1016033921</v>
      </c>
      <c r="AO177" s="143" t="s">
        <v>126</v>
      </c>
      <c r="AP177" s="31">
        <v>43403</v>
      </c>
      <c r="AQ177" s="27" t="s">
        <v>1157</v>
      </c>
      <c r="AR177" s="27" t="s">
        <v>1294</v>
      </c>
      <c r="AS177" s="59"/>
      <c r="AT177" s="31"/>
    </row>
    <row r="178" spans="1:46" ht="33.75" x14ac:dyDescent="0.25">
      <c r="A178" s="14" t="s">
        <v>1295</v>
      </c>
      <c r="B178" s="15" t="s">
        <v>176</v>
      </c>
      <c r="C178" s="15" t="s">
        <v>1286</v>
      </c>
      <c r="D178" s="15" t="s">
        <v>266</v>
      </c>
      <c r="E178" s="15" t="s">
        <v>628</v>
      </c>
      <c r="F178" s="49" t="s">
        <v>1296</v>
      </c>
      <c r="G178" s="17" t="s">
        <v>1297</v>
      </c>
      <c r="H178" s="17"/>
      <c r="I178" s="18" t="s">
        <v>1298</v>
      </c>
      <c r="J178" s="104" t="s">
        <v>1194</v>
      </c>
      <c r="K178" s="15" t="s">
        <v>1195</v>
      </c>
      <c r="L178" s="134">
        <v>43449</v>
      </c>
      <c r="M178" s="22">
        <v>12731402</v>
      </c>
      <c r="N178" s="104">
        <v>170518</v>
      </c>
      <c r="O178" s="104"/>
      <c r="P178" s="115">
        <v>0</v>
      </c>
      <c r="Q178" s="21">
        <f t="shared" si="13"/>
        <v>12731402</v>
      </c>
      <c r="R178" s="22"/>
      <c r="S178" s="23">
        <f t="shared" si="14"/>
        <v>12731402</v>
      </c>
      <c r="T178" s="15"/>
      <c r="U178" s="26">
        <v>43399</v>
      </c>
      <c r="V178" s="26">
        <v>43402</v>
      </c>
      <c r="W178" s="26">
        <v>43403</v>
      </c>
      <c r="X178" s="104">
        <f t="shared" si="11"/>
        <v>1</v>
      </c>
      <c r="Y178" s="25">
        <v>43526</v>
      </c>
      <c r="Z178" s="25"/>
      <c r="AA178" s="25"/>
      <c r="AB178" s="15" t="s">
        <v>51</v>
      </c>
      <c r="AC178" s="26">
        <v>43567</v>
      </c>
      <c r="AD178" s="26"/>
      <c r="AE178" s="154"/>
      <c r="AF178" s="15"/>
      <c r="AG178" s="29" t="s">
        <v>538</v>
      </c>
      <c r="AH178" s="29"/>
      <c r="AI178" s="29"/>
      <c r="AJ178" s="46"/>
      <c r="AK178" s="46"/>
      <c r="AL178" s="29" t="s">
        <v>549</v>
      </c>
      <c r="AM178" s="28">
        <v>43402</v>
      </c>
      <c r="AN178" s="28">
        <v>1016033921</v>
      </c>
      <c r="AO178" s="143" t="s">
        <v>126</v>
      </c>
      <c r="AP178" s="31"/>
      <c r="AQ178" s="27"/>
      <c r="AR178" s="27"/>
      <c r="AS178" s="59"/>
      <c r="AT178" s="31"/>
    </row>
    <row r="179" spans="1:46" ht="22.5" x14ac:dyDescent="0.25">
      <c r="A179" s="14" t="s">
        <v>1299</v>
      </c>
      <c r="B179" s="15" t="s">
        <v>176</v>
      </c>
      <c r="C179" s="15" t="s">
        <v>1300</v>
      </c>
      <c r="D179" s="15" t="s">
        <v>574</v>
      </c>
      <c r="E179" s="15" t="s">
        <v>1301</v>
      </c>
      <c r="F179" s="49" t="s">
        <v>1302</v>
      </c>
      <c r="G179" s="17" t="s">
        <v>1303</v>
      </c>
      <c r="H179" s="17"/>
      <c r="I179" s="18" t="s">
        <v>1304</v>
      </c>
      <c r="J179" s="104" t="s">
        <v>480</v>
      </c>
      <c r="K179" s="15" t="s">
        <v>480</v>
      </c>
      <c r="L179" s="134" t="s">
        <v>480</v>
      </c>
      <c r="M179" s="22">
        <v>32667442</v>
      </c>
      <c r="N179" s="104">
        <v>170618</v>
      </c>
      <c r="O179" s="104"/>
      <c r="P179" s="15"/>
      <c r="Q179" s="21">
        <f t="shared" si="13"/>
        <v>32667442</v>
      </c>
      <c r="R179" s="22">
        <v>32667442</v>
      </c>
      <c r="S179" s="23">
        <f t="shared" si="14"/>
        <v>0</v>
      </c>
      <c r="T179" s="15"/>
      <c r="U179" s="26">
        <v>43399</v>
      </c>
      <c r="V179" s="26">
        <v>43399</v>
      </c>
      <c r="W179" s="26">
        <v>43855</v>
      </c>
      <c r="X179" s="104">
        <f t="shared" si="11"/>
        <v>449</v>
      </c>
      <c r="Y179" s="25">
        <f>+W179+120</f>
        <v>43975</v>
      </c>
      <c r="Z179" s="25"/>
      <c r="AA179" s="25"/>
      <c r="AB179" s="15" t="s">
        <v>51</v>
      </c>
      <c r="AC179" s="26">
        <v>44172</v>
      </c>
      <c r="AD179" s="154"/>
      <c r="AE179" s="154"/>
      <c r="AF179" s="26"/>
      <c r="AG179" s="29" t="s">
        <v>538</v>
      </c>
      <c r="AH179" s="29"/>
      <c r="AI179" s="29"/>
      <c r="AJ179" s="46"/>
      <c r="AK179" s="46"/>
      <c r="AL179" s="143" t="s">
        <v>443</v>
      </c>
      <c r="AM179" s="28" t="s">
        <v>791</v>
      </c>
      <c r="AN179" s="31"/>
      <c r="AO179" s="143"/>
      <c r="AP179" s="31"/>
      <c r="AQ179" s="27"/>
      <c r="AR179" s="27"/>
      <c r="AS179" s="59" t="s">
        <v>1305</v>
      </c>
      <c r="AT179" s="31"/>
    </row>
    <row r="180" spans="1:46" ht="22.5" x14ac:dyDescent="0.25">
      <c r="A180" s="14" t="s">
        <v>1306</v>
      </c>
      <c r="B180" s="15" t="s">
        <v>176</v>
      </c>
      <c r="C180" s="15" t="s">
        <v>1307</v>
      </c>
      <c r="D180" s="15" t="s">
        <v>502</v>
      </c>
      <c r="E180" s="15" t="s">
        <v>794</v>
      </c>
      <c r="F180" s="16" t="s">
        <v>1308</v>
      </c>
      <c r="G180" s="157" t="s">
        <v>1309</v>
      </c>
      <c r="H180" s="15"/>
      <c r="I180" s="49" t="s">
        <v>1310</v>
      </c>
      <c r="J180" s="104" t="s">
        <v>1178</v>
      </c>
      <c r="K180" s="15" t="s">
        <v>124</v>
      </c>
      <c r="L180" s="134">
        <v>43449</v>
      </c>
      <c r="M180" s="22">
        <v>31871727</v>
      </c>
      <c r="N180" s="104"/>
      <c r="O180" s="104"/>
      <c r="P180" s="115">
        <v>0</v>
      </c>
      <c r="Q180" s="22">
        <v>31871727</v>
      </c>
      <c r="R180" s="22">
        <v>31871727</v>
      </c>
      <c r="S180" s="22">
        <f>+Q180-R180</f>
        <v>0</v>
      </c>
      <c r="T180" s="15"/>
      <c r="U180" s="26">
        <v>43405</v>
      </c>
      <c r="V180" s="26">
        <v>43405</v>
      </c>
      <c r="W180" s="26">
        <v>43406</v>
      </c>
      <c r="X180" s="104">
        <f t="shared" si="11"/>
        <v>1</v>
      </c>
      <c r="Y180" s="26">
        <f>W180+120</f>
        <v>43526</v>
      </c>
      <c r="Z180" s="25"/>
      <c r="AA180" s="25"/>
      <c r="AB180" s="15" t="s">
        <v>51</v>
      </c>
      <c r="AC180" s="26">
        <v>43580</v>
      </c>
      <c r="AD180" s="154"/>
      <c r="AE180" s="154" t="s">
        <v>1311</v>
      </c>
      <c r="AF180" s="154"/>
      <c r="AG180" s="27" t="s">
        <v>538</v>
      </c>
      <c r="AH180" s="29"/>
      <c r="AI180" s="29"/>
      <c r="AJ180" s="46"/>
      <c r="AK180" s="46"/>
      <c r="AL180" s="29" t="s">
        <v>549</v>
      </c>
      <c r="AM180" s="143">
        <v>43397</v>
      </c>
      <c r="AN180" s="28">
        <v>1016033921</v>
      </c>
      <c r="AO180" s="31" t="s">
        <v>385</v>
      </c>
      <c r="AP180" s="29">
        <v>43405</v>
      </c>
      <c r="AQ180" s="27" t="s">
        <v>1312</v>
      </c>
      <c r="AR180" s="27" t="s">
        <v>1313</v>
      </c>
      <c r="AS180" s="59" t="s">
        <v>1283</v>
      </c>
      <c r="AT180" s="31" t="s">
        <v>1314</v>
      </c>
    </row>
    <row r="181" spans="1:46" ht="22.5" x14ac:dyDescent="0.25">
      <c r="A181" s="14" t="s">
        <v>1315</v>
      </c>
      <c r="B181" s="15" t="s">
        <v>176</v>
      </c>
      <c r="C181" s="15" t="s">
        <v>1316</v>
      </c>
      <c r="D181" s="15" t="s">
        <v>102</v>
      </c>
      <c r="E181" s="15" t="s">
        <v>120</v>
      </c>
      <c r="F181" s="49" t="s">
        <v>1317</v>
      </c>
      <c r="G181" s="17">
        <v>900417901</v>
      </c>
      <c r="H181" s="17">
        <v>7</v>
      </c>
      <c r="I181" s="155" t="s">
        <v>1318</v>
      </c>
      <c r="J181" s="104" t="s">
        <v>349</v>
      </c>
      <c r="K181" s="15" t="s">
        <v>1319</v>
      </c>
      <c r="L181" s="134" t="s">
        <v>349</v>
      </c>
      <c r="M181" s="55">
        <v>7765500</v>
      </c>
      <c r="N181" s="104">
        <v>171518</v>
      </c>
      <c r="O181" s="50"/>
      <c r="P181" s="51">
        <v>0</v>
      </c>
      <c r="Q181" s="158">
        <f>+M181</f>
        <v>7765500</v>
      </c>
      <c r="R181" s="23"/>
      <c r="S181" s="22">
        <f>+Q181-R181</f>
        <v>7765500</v>
      </c>
      <c r="T181" s="115"/>
      <c r="U181" s="26">
        <v>43405</v>
      </c>
      <c r="V181" s="26">
        <v>43412</v>
      </c>
      <c r="W181" s="25">
        <v>43444</v>
      </c>
      <c r="X181" s="104">
        <f t="shared" si="11"/>
        <v>32</v>
      </c>
      <c r="Y181" s="25">
        <f>W181+120</f>
        <v>43564</v>
      </c>
      <c r="Z181" s="25"/>
      <c r="AA181" s="25"/>
      <c r="AB181" s="15" t="s">
        <v>51</v>
      </c>
      <c r="AC181" s="26">
        <v>43672</v>
      </c>
      <c r="AD181" s="26"/>
      <c r="AE181" s="26"/>
      <c r="AF181" s="60"/>
      <c r="AG181" s="29" t="s">
        <v>137</v>
      </c>
      <c r="AH181" s="29" t="s">
        <v>1320</v>
      </c>
      <c r="AI181" s="29"/>
      <c r="AJ181" s="46"/>
      <c r="AK181" s="46"/>
      <c r="AL181" s="29" t="s">
        <v>1321</v>
      </c>
      <c r="AM181" s="143"/>
      <c r="AN181" s="28">
        <v>74084524</v>
      </c>
      <c r="AO181" s="28" t="s">
        <v>385</v>
      </c>
      <c r="AP181" s="29">
        <v>43412</v>
      </c>
      <c r="AQ181" s="27" t="s">
        <v>127</v>
      </c>
      <c r="AR181" s="70" t="s">
        <v>1322</v>
      </c>
      <c r="AS181" s="59" t="s">
        <v>1323</v>
      </c>
      <c r="AT181" s="31" t="s">
        <v>1324</v>
      </c>
    </row>
    <row r="182" spans="1:46" ht="22.5" x14ac:dyDescent="0.25">
      <c r="A182" s="14" t="s">
        <v>1325</v>
      </c>
      <c r="B182" s="15" t="s">
        <v>45</v>
      </c>
      <c r="C182" s="15" t="s">
        <v>1326</v>
      </c>
      <c r="D182" s="15" t="s">
        <v>502</v>
      </c>
      <c r="E182" s="15" t="s">
        <v>120</v>
      </c>
      <c r="F182" s="49" t="s">
        <v>1327</v>
      </c>
      <c r="G182" s="17">
        <v>890900082</v>
      </c>
      <c r="H182" s="17">
        <v>5</v>
      </c>
      <c r="I182" s="155" t="s">
        <v>1328</v>
      </c>
      <c r="J182" s="104" t="s">
        <v>349</v>
      </c>
      <c r="K182" s="15" t="s">
        <v>1329</v>
      </c>
      <c r="L182" s="134" t="s">
        <v>349</v>
      </c>
      <c r="M182" s="55">
        <v>216975437</v>
      </c>
      <c r="N182" s="104">
        <v>171618</v>
      </c>
      <c r="O182" s="50"/>
      <c r="P182" s="51">
        <v>0</v>
      </c>
      <c r="Q182" s="158">
        <f>+M182+P182</f>
        <v>216975437</v>
      </c>
      <c r="R182" s="23"/>
      <c r="S182" s="23">
        <f>+Q182-R182</f>
        <v>216975437</v>
      </c>
      <c r="T182" s="115"/>
      <c r="U182" s="26">
        <v>43405</v>
      </c>
      <c r="V182" s="26"/>
      <c r="W182" s="25">
        <v>43454</v>
      </c>
      <c r="X182" s="104">
        <f t="shared" si="11"/>
        <v>42830</v>
      </c>
      <c r="Y182" s="25">
        <f>W182+120</f>
        <v>43574</v>
      </c>
      <c r="Z182" s="25"/>
      <c r="AA182" s="25"/>
      <c r="AB182" s="15" t="s">
        <v>51</v>
      </c>
      <c r="AC182" s="26">
        <v>43627</v>
      </c>
      <c r="AD182" s="26"/>
      <c r="AE182" s="26" t="s">
        <v>1311</v>
      </c>
      <c r="AF182" s="60"/>
      <c r="AG182" s="29" t="s">
        <v>156</v>
      </c>
      <c r="AH182" s="29" t="s">
        <v>1330</v>
      </c>
      <c r="AI182" s="29"/>
      <c r="AJ182" s="46"/>
      <c r="AK182" s="46"/>
      <c r="AL182" s="29" t="s">
        <v>1331</v>
      </c>
      <c r="AM182" s="143">
        <v>43417</v>
      </c>
      <c r="AN182" s="28">
        <v>1082939311</v>
      </c>
      <c r="AO182" s="28" t="s">
        <v>385</v>
      </c>
      <c r="AP182" s="29">
        <v>43412</v>
      </c>
      <c r="AQ182" s="27" t="s">
        <v>1332</v>
      </c>
      <c r="AR182" s="70">
        <v>4200003971</v>
      </c>
      <c r="AS182" s="59" t="s">
        <v>1333</v>
      </c>
      <c r="AT182" s="31" t="s">
        <v>1334</v>
      </c>
    </row>
    <row r="183" spans="1:46" ht="19.5" customHeight="1" x14ac:dyDescent="0.25">
      <c r="A183" s="14" t="s">
        <v>1335</v>
      </c>
      <c r="B183" s="15" t="s">
        <v>45</v>
      </c>
      <c r="C183" s="15" t="s">
        <v>1326</v>
      </c>
      <c r="D183" s="15" t="s">
        <v>502</v>
      </c>
      <c r="E183" s="15" t="s">
        <v>120</v>
      </c>
      <c r="F183" s="49" t="s">
        <v>1327</v>
      </c>
      <c r="G183" s="17">
        <v>890900082</v>
      </c>
      <c r="H183" s="17">
        <v>5</v>
      </c>
      <c r="I183" s="155" t="s">
        <v>1328</v>
      </c>
      <c r="J183" s="104"/>
      <c r="K183" s="15"/>
      <c r="L183" s="134"/>
      <c r="M183" s="55"/>
      <c r="N183" s="104"/>
      <c r="O183" s="50"/>
      <c r="P183" s="23">
        <v>98132677</v>
      </c>
      <c r="Q183" s="158">
        <f>+M183+P183</f>
        <v>98132677</v>
      </c>
      <c r="R183" s="23"/>
      <c r="S183" s="23"/>
      <c r="T183" s="115"/>
      <c r="U183" s="26"/>
      <c r="V183" s="26"/>
      <c r="W183" s="25">
        <v>43454</v>
      </c>
      <c r="X183" s="104">
        <f t="shared" si="11"/>
        <v>42830</v>
      </c>
      <c r="Y183" s="25">
        <f>W183+120</f>
        <v>43574</v>
      </c>
      <c r="Z183" s="25"/>
      <c r="AA183" s="25"/>
      <c r="AB183" s="15" t="s">
        <v>51</v>
      </c>
      <c r="AC183" s="26">
        <v>43627</v>
      </c>
      <c r="AD183" s="26"/>
      <c r="AE183" s="26" t="s">
        <v>1311</v>
      </c>
      <c r="AF183" s="60"/>
      <c r="AG183" s="29" t="s">
        <v>156</v>
      </c>
      <c r="AH183" s="29" t="s">
        <v>1330</v>
      </c>
      <c r="AI183" s="29"/>
      <c r="AJ183" s="46"/>
      <c r="AK183" s="46"/>
      <c r="AL183" s="29"/>
      <c r="AM183" s="143"/>
      <c r="AN183" s="28"/>
      <c r="AO183" s="28"/>
      <c r="AP183" s="29"/>
      <c r="AQ183" s="27"/>
      <c r="AR183" s="70">
        <v>4200003971</v>
      </c>
      <c r="AS183" s="59"/>
      <c r="AT183" s="31"/>
    </row>
    <row r="184" spans="1:46" ht="22.5" x14ac:dyDescent="0.25">
      <c r="A184" s="14" t="s">
        <v>1336</v>
      </c>
      <c r="B184" s="15" t="s">
        <v>288</v>
      </c>
      <c r="C184" s="15" t="s">
        <v>1337</v>
      </c>
      <c r="D184" s="15" t="s">
        <v>502</v>
      </c>
      <c r="E184" s="15" t="s">
        <v>120</v>
      </c>
      <c r="F184" s="49" t="s">
        <v>1338</v>
      </c>
      <c r="G184" s="17">
        <v>900273276</v>
      </c>
      <c r="H184" s="17">
        <v>1</v>
      </c>
      <c r="I184" s="155" t="s">
        <v>1339</v>
      </c>
      <c r="J184" s="104" t="s">
        <v>1178</v>
      </c>
      <c r="K184" s="15" t="s">
        <v>124</v>
      </c>
      <c r="L184" s="134">
        <v>43449</v>
      </c>
      <c r="M184" s="55">
        <v>109587600</v>
      </c>
      <c r="N184" s="104">
        <v>171818</v>
      </c>
      <c r="O184" s="50"/>
      <c r="P184" s="51">
        <v>0</v>
      </c>
      <c r="Q184" s="158">
        <f>+M184+P184</f>
        <v>109587600</v>
      </c>
      <c r="R184" s="23"/>
      <c r="S184" s="23">
        <f>+Q184-R184</f>
        <v>109587600</v>
      </c>
      <c r="T184" s="115"/>
      <c r="U184" s="26">
        <v>43406</v>
      </c>
      <c r="V184" s="26">
        <v>43406</v>
      </c>
      <c r="W184" s="25">
        <v>43411</v>
      </c>
      <c r="X184" s="104">
        <f t="shared" si="11"/>
        <v>5</v>
      </c>
      <c r="Y184" s="25"/>
      <c r="Z184" s="25"/>
      <c r="AA184" s="25"/>
      <c r="AB184" s="15" t="s">
        <v>51</v>
      </c>
      <c r="AC184" s="26">
        <v>43559</v>
      </c>
      <c r="AD184" s="26" t="s">
        <v>164</v>
      </c>
      <c r="AE184" s="26" t="s">
        <v>1311</v>
      </c>
      <c r="AF184" s="60"/>
      <c r="AG184" s="29" t="s">
        <v>137</v>
      </c>
      <c r="AH184" s="29"/>
      <c r="AI184" s="29"/>
      <c r="AJ184" s="46"/>
      <c r="AK184" s="46"/>
      <c r="AL184" s="29" t="s">
        <v>549</v>
      </c>
      <c r="AM184" s="143">
        <v>43411</v>
      </c>
      <c r="AN184" s="28">
        <v>1016033921</v>
      </c>
      <c r="AO184" s="28" t="s">
        <v>385</v>
      </c>
      <c r="AP184" s="29">
        <v>43410</v>
      </c>
      <c r="AQ184" s="27" t="s">
        <v>127</v>
      </c>
      <c r="AR184" s="70" t="s">
        <v>1340</v>
      </c>
      <c r="AS184" s="59" t="s">
        <v>675</v>
      </c>
      <c r="AT184" s="31" t="s">
        <v>1341</v>
      </c>
    </row>
    <row r="185" spans="1:46" ht="45" x14ac:dyDescent="0.25">
      <c r="A185" s="14" t="s">
        <v>1342</v>
      </c>
      <c r="B185" s="15" t="s">
        <v>176</v>
      </c>
      <c r="C185" s="15" t="s">
        <v>1343</v>
      </c>
      <c r="D185" s="15" t="s">
        <v>1344</v>
      </c>
      <c r="E185" s="15" t="s">
        <v>332</v>
      </c>
      <c r="F185" s="49" t="s">
        <v>1345</v>
      </c>
      <c r="G185" s="17">
        <v>114884464</v>
      </c>
      <c r="H185" s="17">
        <v>8</v>
      </c>
      <c r="I185" s="18" t="s">
        <v>1346</v>
      </c>
      <c r="J185" s="15"/>
      <c r="K185" s="15"/>
      <c r="L185" s="15"/>
      <c r="M185" s="22">
        <v>5650000</v>
      </c>
      <c r="N185" s="104">
        <v>172418</v>
      </c>
      <c r="O185" s="134"/>
      <c r="P185" s="115">
        <v>0</v>
      </c>
      <c r="Q185" s="22">
        <v>5650000</v>
      </c>
      <c r="R185" s="22">
        <v>5650000</v>
      </c>
      <c r="S185" s="55">
        <v>0</v>
      </c>
      <c r="T185" s="15"/>
      <c r="U185" s="26">
        <v>43406</v>
      </c>
      <c r="V185" s="26">
        <v>43417</v>
      </c>
      <c r="W185" s="25">
        <v>43449</v>
      </c>
      <c r="X185" s="104">
        <f t="shared" si="11"/>
        <v>32</v>
      </c>
      <c r="Y185" s="25">
        <v>43565</v>
      </c>
      <c r="Z185" s="25"/>
      <c r="AA185" s="25"/>
      <c r="AB185" s="15" t="s">
        <v>51</v>
      </c>
      <c r="AC185" s="26">
        <v>43725</v>
      </c>
      <c r="AD185" s="154"/>
      <c r="AE185" s="26" t="s">
        <v>1347</v>
      </c>
      <c r="AF185" s="154"/>
      <c r="AG185" s="29" t="s">
        <v>538</v>
      </c>
      <c r="AH185" s="29" t="s">
        <v>1348</v>
      </c>
      <c r="AI185" s="29">
        <v>43412</v>
      </c>
      <c r="AJ185" s="70">
        <v>1018441621</v>
      </c>
      <c r="AK185" s="29" t="s">
        <v>322</v>
      </c>
      <c r="AL185" s="29">
        <v>43417</v>
      </c>
      <c r="AM185" s="27" t="s">
        <v>127</v>
      </c>
      <c r="AN185" s="70" t="s">
        <v>1349</v>
      </c>
      <c r="AO185" s="27" t="s">
        <v>305</v>
      </c>
      <c r="AP185" s="33">
        <v>0.85</v>
      </c>
      <c r="AQ185" s="141">
        <v>4802500</v>
      </c>
      <c r="AR185" s="32">
        <v>4000001309</v>
      </c>
      <c r="AS185" s="31"/>
      <c r="AT185" s="116">
        <v>20186030270423</v>
      </c>
    </row>
    <row r="186" spans="1:46" ht="15" x14ac:dyDescent="0.25">
      <c r="A186" s="159" t="s">
        <v>1350</v>
      </c>
      <c r="B186" s="159" t="s">
        <v>108</v>
      </c>
      <c r="C186" s="154"/>
      <c r="D186" s="154"/>
      <c r="E186" s="154" t="s">
        <v>184</v>
      </c>
      <c r="F186" s="160" t="s">
        <v>115</v>
      </c>
      <c r="G186" s="154"/>
      <c r="H186" s="154"/>
      <c r="I186" s="160"/>
      <c r="J186" s="154"/>
      <c r="K186" s="154"/>
      <c r="L186" s="154"/>
      <c r="M186" s="154"/>
      <c r="N186" s="104"/>
      <c r="O186" s="154"/>
      <c r="P186" s="154"/>
      <c r="Q186" s="154"/>
      <c r="R186" s="154"/>
      <c r="S186" s="154"/>
      <c r="T186" s="154"/>
      <c r="U186" s="154"/>
      <c r="V186" s="154"/>
      <c r="W186" s="154"/>
      <c r="X186" s="104">
        <f t="shared" si="11"/>
        <v>0</v>
      </c>
      <c r="Y186" s="154"/>
      <c r="Z186" s="154"/>
      <c r="AA186" s="154"/>
      <c r="AB186" s="159" t="s">
        <v>51</v>
      </c>
      <c r="AC186" s="26">
        <v>43756</v>
      </c>
      <c r="AD186" s="154"/>
      <c r="AE186" s="154"/>
      <c r="AF186" s="154"/>
      <c r="AG186" s="161"/>
      <c r="AH186" s="46"/>
      <c r="AI186" s="46"/>
      <c r="AJ186" s="46"/>
      <c r="AK186" s="46"/>
      <c r="AL186" s="46"/>
      <c r="AM186" s="46"/>
      <c r="AN186" s="46"/>
      <c r="AO186" s="46"/>
      <c r="AP186" s="46"/>
      <c r="AQ186" s="46"/>
      <c r="AR186" s="32">
        <v>5000000099</v>
      </c>
      <c r="AS186" s="46"/>
      <c r="AT186" s="47"/>
    </row>
    <row r="187" spans="1:46" ht="15" x14ac:dyDescent="0.25">
      <c r="A187" s="159" t="s">
        <v>1351</v>
      </c>
      <c r="B187" s="159" t="s">
        <v>108</v>
      </c>
      <c r="C187" s="154"/>
      <c r="D187" s="154"/>
      <c r="E187" s="154" t="s">
        <v>184</v>
      </c>
      <c r="F187" s="160" t="s">
        <v>1352</v>
      </c>
      <c r="G187" s="154"/>
      <c r="H187" s="154"/>
      <c r="I187" s="160"/>
      <c r="J187" s="154"/>
      <c r="K187" s="154"/>
      <c r="L187" s="154"/>
      <c r="M187" s="154"/>
      <c r="N187" s="104"/>
      <c r="O187" s="154"/>
      <c r="P187" s="154"/>
      <c r="Q187" s="154"/>
      <c r="R187" s="154"/>
      <c r="S187" s="154"/>
      <c r="T187" s="154"/>
      <c r="U187" s="154"/>
      <c r="V187" s="154"/>
      <c r="W187" s="154"/>
      <c r="X187" s="104">
        <f t="shared" si="11"/>
        <v>0</v>
      </c>
      <c r="Y187" s="154"/>
      <c r="Z187" s="154"/>
      <c r="AA187" s="154"/>
      <c r="AB187" s="159" t="s">
        <v>302</v>
      </c>
      <c r="AC187" s="26"/>
      <c r="AD187" s="154"/>
      <c r="AE187" s="154"/>
      <c r="AF187" s="154"/>
      <c r="AG187" s="161"/>
      <c r="AH187" s="46"/>
      <c r="AI187" s="46"/>
      <c r="AJ187" s="46"/>
      <c r="AK187" s="46"/>
      <c r="AL187" s="46"/>
      <c r="AM187" s="46"/>
      <c r="AN187" s="46"/>
      <c r="AO187" s="46"/>
      <c r="AP187" s="46"/>
      <c r="AQ187" s="46"/>
      <c r="AR187" s="32">
        <v>5000000100</v>
      </c>
      <c r="AS187" s="46"/>
      <c r="AT187" s="47"/>
    </row>
    <row r="188" spans="1:46" s="10" customFormat="1" ht="22.5" x14ac:dyDescent="0.25">
      <c r="A188" s="15" t="s">
        <v>1353</v>
      </c>
      <c r="B188" s="15" t="s">
        <v>176</v>
      </c>
      <c r="C188" s="54" t="s">
        <v>1354</v>
      </c>
      <c r="D188" s="15" t="s">
        <v>1355</v>
      </c>
      <c r="E188" s="15" t="s">
        <v>794</v>
      </c>
      <c r="F188" s="16" t="s">
        <v>1356</v>
      </c>
      <c r="G188" s="54" t="s">
        <v>1357</v>
      </c>
      <c r="H188" s="54"/>
      <c r="I188" s="49" t="s">
        <v>1358</v>
      </c>
      <c r="J188" s="104" t="s">
        <v>480</v>
      </c>
      <c r="K188" s="15" t="s">
        <v>480</v>
      </c>
      <c r="L188" s="134" t="s">
        <v>480</v>
      </c>
      <c r="M188" s="55">
        <v>19571997</v>
      </c>
      <c r="N188" s="104">
        <v>174818</v>
      </c>
      <c r="O188" s="54"/>
      <c r="P188" s="162">
        <v>0</v>
      </c>
      <c r="Q188" s="55">
        <f>+M188</f>
        <v>19571997</v>
      </c>
      <c r="R188" s="54"/>
      <c r="S188" s="55">
        <f>+Q188-R188</f>
        <v>19571997</v>
      </c>
      <c r="T188" s="54"/>
      <c r="U188" s="26">
        <v>43418</v>
      </c>
      <c r="V188" s="26">
        <v>43420</v>
      </c>
      <c r="W188" s="26">
        <v>43450</v>
      </c>
      <c r="X188" s="104">
        <f t="shared" si="11"/>
        <v>30</v>
      </c>
      <c r="Y188" s="26">
        <f>W188+120</f>
        <v>43570</v>
      </c>
      <c r="Z188" s="54"/>
      <c r="AA188" s="54"/>
      <c r="AB188" s="15" t="s">
        <v>51</v>
      </c>
      <c r="AC188" s="26">
        <v>43537</v>
      </c>
      <c r="AD188" s="54"/>
      <c r="AE188" s="54"/>
      <c r="AF188" s="54"/>
      <c r="AG188" s="57" t="s">
        <v>538</v>
      </c>
      <c r="AH188" s="31" t="s">
        <v>506</v>
      </c>
      <c r="AI188" s="143">
        <v>43419</v>
      </c>
      <c r="AJ188" s="28">
        <v>51859596</v>
      </c>
      <c r="AK188" s="36" t="s">
        <v>385</v>
      </c>
      <c r="AL188" s="143">
        <v>43419</v>
      </c>
      <c r="AM188" s="27" t="s">
        <v>1332</v>
      </c>
      <c r="AN188" s="70">
        <v>2002348</v>
      </c>
      <c r="AO188" s="57" t="s">
        <v>352</v>
      </c>
      <c r="AP188" s="107">
        <v>0.75</v>
      </c>
      <c r="AQ188" s="163">
        <v>14678997.75</v>
      </c>
      <c r="AR188" s="32">
        <v>4200004234</v>
      </c>
      <c r="AS188" s="57" t="s">
        <v>1359</v>
      </c>
      <c r="AT188" s="31" t="s">
        <v>1360</v>
      </c>
    </row>
    <row r="189" spans="1:46" s="10" customFormat="1" ht="22.5" x14ac:dyDescent="0.25">
      <c r="A189" s="15" t="s">
        <v>1361</v>
      </c>
      <c r="B189" s="15" t="s">
        <v>176</v>
      </c>
      <c r="C189" s="54" t="s">
        <v>1362</v>
      </c>
      <c r="D189" s="15"/>
      <c r="E189" s="15" t="s">
        <v>1301</v>
      </c>
      <c r="F189" s="16" t="s">
        <v>1363</v>
      </c>
      <c r="G189" s="54"/>
      <c r="H189" s="54"/>
      <c r="I189" s="18" t="s">
        <v>1364</v>
      </c>
      <c r="J189" s="104" t="s">
        <v>349</v>
      </c>
      <c r="K189" s="15" t="s">
        <v>349</v>
      </c>
      <c r="L189" s="134" t="s">
        <v>349</v>
      </c>
      <c r="M189" s="55">
        <v>14482800</v>
      </c>
      <c r="N189" s="104"/>
      <c r="O189" s="54"/>
      <c r="P189" s="162">
        <v>0</v>
      </c>
      <c r="Q189" s="55"/>
      <c r="R189" s="54"/>
      <c r="S189" s="55"/>
      <c r="T189" s="54"/>
      <c r="U189" s="26">
        <v>43423</v>
      </c>
      <c r="V189" s="26">
        <v>43423</v>
      </c>
      <c r="W189" s="26">
        <v>43438</v>
      </c>
      <c r="X189" s="104">
        <f t="shared" si="11"/>
        <v>15</v>
      </c>
      <c r="Y189" s="26"/>
      <c r="Z189" s="54"/>
      <c r="AA189" s="54"/>
      <c r="AB189" s="15" t="s">
        <v>51</v>
      </c>
      <c r="AC189" s="26">
        <v>43565</v>
      </c>
      <c r="AD189" s="54"/>
      <c r="AE189" s="54" t="s">
        <v>1365</v>
      </c>
      <c r="AF189" s="54"/>
      <c r="AG189" s="57" t="s">
        <v>538</v>
      </c>
      <c r="AH189" s="36"/>
      <c r="AI189" s="143"/>
      <c r="AJ189" s="36"/>
      <c r="AK189" s="36"/>
      <c r="AL189" s="143"/>
      <c r="AM189" s="27"/>
      <c r="AN189" s="70"/>
      <c r="AO189" s="57"/>
      <c r="AP189" s="107"/>
      <c r="AQ189" s="163"/>
      <c r="AR189" s="32">
        <v>4300002061</v>
      </c>
      <c r="AS189" s="36"/>
      <c r="AT189" s="31"/>
    </row>
    <row r="190" spans="1:46" ht="22.5" x14ac:dyDescent="0.25">
      <c r="A190" s="83" t="s">
        <v>1366</v>
      </c>
      <c r="B190" s="83" t="s">
        <v>399</v>
      </c>
      <c r="C190" s="83" t="s">
        <v>1367</v>
      </c>
      <c r="D190" s="83" t="s">
        <v>266</v>
      </c>
      <c r="E190" s="83" t="s">
        <v>298</v>
      </c>
      <c r="F190" s="84" t="s">
        <v>714</v>
      </c>
      <c r="G190" s="82" t="s">
        <v>1368</v>
      </c>
      <c r="H190" s="85">
        <v>0</v>
      </c>
      <c r="I190" s="144" t="s">
        <v>1369</v>
      </c>
      <c r="J190" s="164" t="s">
        <v>1370</v>
      </c>
      <c r="K190" s="164" t="s">
        <v>880</v>
      </c>
      <c r="L190" s="164"/>
      <c r="M190" s="89">
        <v>250000000</v>
      </c>
      <c r="N190" s="87"/>
      <c r="O190" s="164"/>
      <c r="P190" s="164"/>
      <c r="Q190" s="164"/>
      <c r="R190" s="164"/>
      <c r="S190" s="164"/>
      <c r="T190" s="164"/>
      <c r="U190" s="88">
        <v>43426</v>
      </c>
      <c r="V190" s="88">
        <v>43426</v>
      </c>
      <c r="W190" s="88">
        <v>43465</v>
      </c>
      <c r="X190" s="87">
        <f t="shared" si="11"/>
        <v>39</v>
      </c>
      <c r="Y190" s="164"/>
      <c r="Z190" s="147">
        <v>43646</v>
      </c>
      <c r="AA190" s="147">
        <v>43738</v>
      </c>
      <c r="AB190" s="83" t="s">
        <v>675</v>
      </c>
      <c r="AC190" s="88" t="s">
        <v>1371</v>
      </c>
      <c r="AD190" s="164"/>
      <c r="AE190" s="164"/>
      <c r="AF190" s="164"/>
      <c r="AG190" s="97" t="s">
        <v>137</v>
      </c>
      <c r="AH190" s="97" t="s">
        <v>1320</v>
      </c>
      <c r="AJ190" s="98">
        <v>1019031829</v>
      </c>
      <c r="AK190" s="98" t="s">
        <v>385</v>
      </c>
      <c r="AL190" s="149">
        <v>43432</v>
      </c>
      <c r="AM190" s="13" t="s">
        <v>621</v>
      </c>
      <c r="AN190" s="165" t="s">
        <v>1372</v>
      </c>
      <c r="AO190" s="13" t="s">
        <v>305</v>
      </c>
      <c r="AP190" s="151">
        <v>0.95</v>
      </c>
      <c r="AQ190" s="166">
        <f>50000000+125000000+50000000+12500000+156248400</f>
        <v>393748400</v>
      </c>
      <c r="AR190" s="99">
        <v>5100002898</v>
      </c>
      <c r="AS190" s="103" t="s">
        <v>51</v>
      </c>
      <c r="AT190" s="9" t="s">
        <v>1373</v>
      </c>
    </row>
    <row r="191" spans="1:46" ht="22.5" x14ac:dyDescent="0.25">
      <c r="A191" s="15" t="s">
        <v>1374</v>
      </c>
      <c r="B191" s="15" t="s">
        <v>399</v>
      </c>
      <c r="C191" s="15" t="s">
        <v>1367</v>
      </c>
      <c r="D191" s="15" t="s">
        <v>266</v>
      </c>
      <c r="E191" s="15" t="s">
        <v>298</v>
      </c>
      <c r="F191" s="16" t="s">
        <v>1375</v>
      </c>
      <c r="G191" s="14" t="s">
        <v>1376</v>
      </c>
      <c r="H191" s="17">
        <v>0</v>
      </c>
      <c r="I191" s="49" t="s">
        <v>1377</v>
      </c>
      <c r="J191" s="154" t="s">
        <v>1370</v>
      </c>
      <c r="K191" s="154" t="s">
        <v>880</v>
      </c>
      <c r="L191" s="154"/>
      <c r="M191" s="55">
        <v>1500000000</v>
      </c>
      <c r="N191" s="104"/>
      <c r="O191" s="154"/>
      <c r="P191" s="139">
        <v>0</v>
      </c>
      <c r="Q191" s="154"/>
      <c r="R191" s="154"/>
      <c r="S191" s="154"/>
      <c r="T191" s="154"/>
      <c r="U191" s="26">
        <v>43426</v>
      </c>
      <c r="V191" s="26">
        <v>43426</v>
      </c>
      <c r="W191" s="26">
        <v>43465</v>
      </c>
      <c r="X191" s="104">
        <f t="shared" si="11"/>
        <v>39</v>
      </c>
      <c r="Y191" s="154"/>
      <c r="Z191" s="38">
        <v>43585</v>
      </c>
      <c r="AA191" s="38"/>
      <c r="AB191" s="15" t="s">
        <v>302</v>
      </c>
      <c r="AC191" s="38">
        <v>43700</v>
      </c>
      <c r="AD191" s="154"/>
      <c r="AE191" s="154" t="s">
        <v>53</v>
      </c>
      <c r="AF191" s="154"/>
      <c r="AG191" s="29" t="s">
        <v>137</v>
      </c>
      <c r="AH191" s="29" t="s">
        <v>1378</v>
      </c>
      <c r="AI191" s="143">
        <v>43431</v>
      </c>
      <c r="AJ191" s="28">
        <v>1090962220</v>
      </c>
      <c r="AK191" s="28" t="s">
        <v>385</v>
      </c>
      <c r="AL191" s="46"/>
      <c r="AM191" s="27" t="s">
        <v>127</v>
      </c>
      <c r="AN191" s="70" t="s">
        <v>1379</v>
      </c>
      <c r="AO191" s="27" t="s">
        <v>305</v>
      </c>
      <c r="AP191" s="107" t="s">
        <v>1380</v>
      </c>
      <c r="AQ191" s="80">
        <f>300000000+750000000+300000000+75000000+234372600</f>
        <v>1659372600</v>
      </c>
      <c r="AR191" s="32">
        <v>5100000287</v>
      </c>
      <c r="AS191" s="59" t="s">
        <v>1381</v>
      </c>
      <c r="AT191" s="31" t="s">
        <v>1382</v>
      </c>
    </row>
    <row r="192" spans="1:46" ht="22.5" x14ac:dyDescent="0.25">
      <c r="A192" s="15" t="s">
        <v>1383</v>
      </c>
      <c r="B192" s="15" t="s">
        <v>399</v>
      </c>
      <c r="C192" s="15" t="s">
        <v>1367</v>
      </c>
      <c r="D192" s="15" t="s">
        <v>266</v>
      </c>
      <c r="E192" s="15" t="s">
        <v>298</v>
      </c>
      <c r="F192" s="16" t="s">
        <v>1384</v>
      </c>
      <c r="G192" s="14" t="s">
        <v>1385</v>
      </c>
      <c r="H192" s="17">
        <v>5</v>
      </c>
      <c r="I192" s="49" t="s">
        <v>1386</v>
      </c>
      <c r="J192" s="154" t="s">
        <v>1370</v>
      </c>
      <c r="K192" s="154" t="s">
        <v>1387</v>
      </c>
      <c r="L192" s="154"/>
      <c r="M192" s="55">
        <v>1200000000</v>
      </c>
      <c r="N192" s="104"/>
      <c r="O192" s="154"/>
      <c r="P192" s="139">
        <v>0</v>
      </c>
      <c r="Q192" s="154"/>
      <c r="R192" s="154"/>
      <c r="S192" s="154"/>
      <c r="T192" s="154"/>
      <c r="U192" s="26">
        <v>43426</v>
      </c>
      <c r="V192" s="26">
        <v>43426</v>
      </c>
      <c r="W192" s="26">
        <v>43465</v>
      </c>
      <c r="X192" s="104">
        <f t="shared" si="11"/>
        <v>39</v>
      </c>
      <c r="Y192" s="154"/>
      <c r="Z192" s="38">
        <v>43554</v>
      </c>
      <c r="AA192" s="38"/>
      <c r="AB192" s="15" t="s">
        <v>51</v>
      </c>
      <c r="AC192" s="26">
        <v>43735</v>
      </c>
      <c r="AD192" s="154"/>
      <c r="AE192" s="154"/>
      <c r="AF192" s="154"/>
      <c r="AG192" s="29" t="s">
        <v>137</v>
      </c>
      <c r="AH192" s="29" t="s">
        <v>1378</v>
      </c>
      <c r="AI192" s="143">
        <v>43431</v>
      </c>
      <c r="AJ192" s="28">
        <v>1090962220</v>
      </c>
      <c r="AK192" s="28" t="s">
        <v>385</v>
      </c>
      <c r="AL192" s="29">
        <v>43427</v>
      </c>
      <c r="AM192" s="27" t="s">
        <v>127</v>
      </c>
      <c r="AN192" s="70" t="s">
        <v>1388</v>
      </c>
      <c r="AO192" s="27" t="s">
        <v>305</v>
      </c>
      <c r="AP192" s="107" t="s">
        <v>1380</v>
      </c>
      <c r="AQ192" s="80">
        <f>240000000+240000000+600000000+60000000+234372600</f>
        <v>1374372600</v>
      </c>
      <c r="AR192" s="32">
        <v>51000002899</v>
      </c>
      <c r="AS192" s="59" t="s">
        <v>1381</v>
      </c>
      <c r="AT192" s="31" t="s">
        <v>1389</v>
      </c>
    </row>
    <row r="193" spans="1:46" s="10" customFormat="1" ht="33.75" x14ac:dyDescent="0.25">
      <c r="A193" s="167" t="s">
        <v>1390</v>
      </c>
      <c r="B193" s="54" t="s">
        <v>1391</v>
      </c>
      <c r="C193" s="168" t="s">
        <v>1392</v>
      </c>
      <c r="D193" s="15" t="s">
        <v>1393</v>
      </c>
      <c r="E193" s="167" t="s">
        <v>1301</v>
      </c>
      <c r="F193" s="16" t="s">
        <v>1394</v>
      </c>
      <c r="G193" s="169" t="s">
        <v>1395</v>
      </c>
      <c r="H193" s="168"/>
      <c r="I193" s="49" t="s">
        <v>1396</v>
      </c>
      <c r="J193" s="168"/>
      <c r="K193" s="168"/>
      <c r="L193" s="168"/>
      <c r="M193" s="170">
        <v>7000000</v>
      </c>
      <c r="N193" s="104" t="s">
        <v>1397</v>
      </c>
      <c r="O193" s="167" t="s">
        <v>1398</v>
      </c>
      <c r="P193" s="171">
        <v>0</v>
      </c>
      <c r="Q193" s="170">
        <v>7000000</v>
      </c>
      <c r="R193" s="170">
        <v>7000000</v>
      </c>
      <c r="S193" s="170">
        <v>0</v>
      </c>
      <c r="T193" s="170">
        <v>0</v>
      </c>
      <c r="U193" s="172">
        <v>43432</v>
      </c>
      <c r="V193" s="172">
        <v>43433</v>
      </c>
      <c r="W193" s="172">
        <v>43462</v>
      </c>
      <c r="X193" s="104">
        <f t="shared" si="11"/>
        <v>29</v>
      </c>
      <c r="Y193" s="172">
        <v>43583</v>
      </c>
      <c r="Z193" s="167" t="s">
        <v>480</v>
      </c>
      <c r="AA193" s="167"/>
      <c r="AB193" s="15" t="s">
        <v>51</v>
      </c>
      <c r="AC193" s="26">
        <v>43539</v>
      </c>
      <c r="AD193" s="26" t="s">
        <v>52</v>
      </c>
      <c r="AE193" s="26" t="s">
        <v>1311</v>
      </c>
      <c r="AF193" s="168"/>
      <c r="AG193" s="27" t="s">
        <v>156</v>
      </c>
      <c r="AH193" s="27" t="s">
        <v>1399</v>
      </c>
      <c r="AI193" s="173">
        <v>43441</v>
      </c>
      <c r="AJ193" s="132" t="s">
        <v>1400</v>
      </c>
      <c r="AK193" s="31" t="s">
        <v>385</v>
      </c>
      <c r="AL193" s="173">
        <v>43433</v>
      </c>
      <c r="AM193" s="57" t="s">
        <v>127</v>
      </c>
      <c r="AN193" s="36" t="s">
        <v>1401</v>
      </c>
      <c r="AO193" s="57" t="s">
        <v>129</v>
      </c>
      <c r="AP193" s="174">
        <v>0.2</v>
      </c>
      <c r="AQ193" s="175">
        <v>1400000</v>
      </c>
      <c r="AR193" s="32">
        <v>4300002257</v>
      </c>
      <c r="AS193" s="59" t="s">
        <v>1381</v>
      </c>
      <c r="AT193" s="31" t="s">
        <v>1402</v>
      </c>
    </row>
    <row r="194" spans="1:46" s="10" customFormat="1" ht="22.5" x14ac:dyDescent="0.25">
      <c r="A194" s="167" t="s">
        <v>1403</v>
      </c>
      <c r="B194" s="54" t="s">
        <v>176</v>
      </c>
      <c r="C194" s="168" t="s">
        <v>1404</v>
      </c>
      <c r="D194" s="15" t="s">
        <v>318</v>
      </c>
      <c r="E194" s="167" t="s">
        <v>1301</v>
      </c>
      <c r="F194" s="16" t="s">
        <v>1405</v>
      </c>
      <c r="G194" s="169" t="s">
        <v>1406</v>
      </c>
      <c r="H194" s="168"/>
      <c r="I194" s="49" t="s">
        <v>1407</v>
      </c>
      <c r="J194" s="168"/>
      <c r="K194" s="168"/>
      <c r="L194" s="168"/>
      <c r="M194" s="170">
        <v>16500000</v>
      </c>
      <c r="N194" s="104" t="s">
        <v>1408</v>
      </c>
      <c r="O194" s="167" t="s">
        <v>1398</v>
      </c>
      <c r="P194" s="171">
        <v>0</v>
      </c>
      <c r="Q194" s="170">
        <v>16500000</v>
      </c>
      <c r="R194" s="170">
        <v>16500000</v>
      </c>
      <c r="S194" s="170">
        <v>0</v>
      </c>
      <c r="T194" s="170">
        <v>0</v>
      </c>
      <c r="U194" s="172">
        <v>43433</v>
      </c>
      <c r="V194" s="172">
        <v>43433</v>
      </c>
      <c r="W194" s="26">
        <v>43449</v>
      </c>
      <c r="X194" s="104">
        <f t="shared" si="11"/>
        <v>16</v>
      </c>
      <c r="Y194" s="172">
        <v>43570</v>
      </c>
      <c r="Z194" s="167" t="s">
        <v>480</v>
      </c>
      <c r="AA194" s="167"/>
      <c r="AB194" s="15" t="s">
        <v>51</v>
      </c>
      <c r="AC194" s="26">
        <v>43616</v>
      </c>
      <c r="AD194" s="168"/>
      <c r="AE194" s="26" t="s">
        <v>1311</v>
      </c>
      <c r="AF194" s="168"/>
      <c r="AG194" s="27" t="s">
        <v>1409</v>
      </c>
      <c r="AH194" s="27" t="s">
        <v>1410</v>
      </c>
      <c r="AI194" s="173">
        <v>43441</v>
      </c>
      <c r="AJ194" s="132" t="s">
        <v>1411</v>
      </c>
      <c r="AK194" s="31" t="s">
        <v>385</v>
      </c>
      <c r="AL194" s="173">
        <v>43441</v>
      </c>
      <c r="AM194" s="57" t="s">
        <v>127</v>
      </c>
      <c r="AN194" s="36" t="s">
        <v>1412</v>
      </c>
      <c r="AO194" s="27" t="s">
        <v>665</v>
      </c>
      <c r="AP194" s="31" t="s">
        <v>1413</v>
      </c>
      <c r="AQ194" s="176">
        <v>12375000</v>
      </c>
      <c r="AR194" s="32">
        <v>4300002266</v>
      </c>
      <c r="AS194" s="59" t="s">
        <v>1381</v>
      </c>
      <c r="AT194" s="31" t="s">
        <v>1414</v>
      </c>
    </row>
    <row r="195" spans="1:46" s="9" customFormat="1" ht="22.5" x14ac:dyDescent="0.25">
      <c r="A195" s="167" t="s">
        <v>1415</v>
      </c>
      <c r="B195" s="15" t="s">
        <v>176</v>
      </c>
      <c r="C195" s="167" t="s">
        <v>1416</v>
      </c>
      <c r="D195" s="167" t="s">
        <v>502</v>
      </c>
      <c r="E195" s="167" t="s">
        <v>1301</v>
      </c>
      <c r="F195" s="16" t="s">
        <v>1417</v>
      </c>
      <c r="G195" s="167" t="s">
        <v>1418</v>
      </c>
      <c r="H195" s="167"/>
      <c r="I195" s="16" t="s">
        <v>1419</v>
      </c>
      <c r="J195" s="167" t="s">
        <v>1420</v>
      </c>
      <c r="K195" s="167" t="s">
        <v>927</v>
      </c>
      <c r="L195" s="167"/>
      <c r="M195" s="170">
        <v>29070000</v>
      </c>
      <c r="N195" s="104">
        <v>187518</v>
      </c>
      <c r="O195" s="167" t="s">
        <v>1398</v>
      </c>
      <c r="P195" s="171">
        <v>0</v>
      </c>
      <c r="Q195" s="167"/>
      <c r="R195" s="170">
        <v>29069996</v>
      </c>
      <c r="S195" s="170">
        <v>0</v>
      </c>
      <c r="T195" s="170">
        <v>4</v>
      </c>
      <c r="U195" s="172">
        <v>43440</v>
      </c>
      <c r="V195" s="172">
        <v>43440</v>
      </c>
      <c r="W195" s="172">
        <v>43441</v>
      </c>
      <c r="X195" s="104">
        <f t="shared" si="11"/>
        <v>1</v>
      </c>
      <c r="Y195" s="172">
        <v>43562</v>
      </c>
      <c r="Z195" s="172">
        <v>43446</v>
      </c>
      <c r="AA195" s="172"/>
      <c r="AB195" s="15" t="s">
        <v>51</v>
      </c>
      <c r="AC195" s="26">
        <v>43631</v>
      </c>
      <c r="AD195" s="134"/>
      <c r="AE195" s="167"/>
      <c r="AF195" s="167"/>
      <c r="AG195" s="27" t="s">
        <v>1409</v>
      </c>
      <c r="AH195" s="27" t="s">
        <v>1421</v>
      </c>
      <c r="AI195" s="173">
        <v>43440</v>
      </c>
      <c r="AJ195" s="177">
        <v>1030525589</v>
      </c>
      <c r="AK195" s="31" t="s">
        <v>385</v>
      </c>
      <c r="AL195" s="173">
        <v>43440</v>
      </c>
      <c r="AM195" s="27" t="s">
        <v>1205</v>
      </c>
      <c r="AN195" s="31" t="s">
        <v>1422</v>
      </c>
      <c r="AO195" s="27" t="s">
        <v>665</v>
      </c>
      <c r="AP195" s="31" t="s">
        <v>1423</v>
      </c>
      <c r="AQ195" s="176">
        <v>26163000</v>
      </c>
      <c r="AR195" s="32">
        <v>4400000380</v>
      </c>
      <c r="AS195" s="59" t="s">
        <v>675</v>
      </c>
      <c r="AT195" s="132" t="s">
        <v>1424</v>
      </c>
    </row>
    <row r="196" spans="1:46" s="1" customFormat="1" ht="22.5" x14ac:dyDescent="0.2">
      <c r="A196" s="15" t="s">
        <v>1425</v>
      </c>
      <c r="B196" s="15" t="s">
        <v>176</v>
      </c>
      <c r="C196" s="15" t="s">
        <v>1426</v>
      </c>
      <c r="D196" s="15" t="s">
        <v>1355</v>
      </c>
      <c r="E196" s="15" t="s">
        <v>794</v>
      </c>
      <c r="F196" s="16" t="s">
        <v>1427</v>
      </c>
      <c r="G196" s="167" t="s">
        <v>1428</v>
      </c>
      <c r="H196" s="178"/>
      <c r="I196" s="16" t="s">
        <v>1429</v>
      </c>
      <c r="J196" s="104" t="s">
        <v>480</v>
      </c>
      <c r="K196" s="104" t="s">
        <v>480</v>
      </c>
      <c r="L196" s="104" t="s">
        <v>480</v>
      </c>
      <c r="M196" s="179">
        <v>6500000</v>
      </c>
      <c r="N196" s="104">
        <v>188018</v>
      </c>
      <c r="O196" s="167" t="s">
        <v>1398</v>
      </c>
      <c r="P196" s="167" t="s">
        <v>1398</v>
      </c>
      <c r="Q196" s="167">
        <v>0</v>
      </c>
      <c r="R196" s="179">
        <v>0</v>
      </c>
      <c r="S196" s="179">
        <v>0</v>
      </c>
      <c r="T196" s="167" t="s">
        <v>1398</v>
      </c>
      <c r="U196" s="26">
        <v>43445</v>
      </c>
      <c r="V196" s="26">
        <v>43447</v>
      </c>
      <c r="W196" s="26">
        <v>43460</v>
      </c>
      <c r="X196" s="104">
        <f t="shared" si="11"/>
        <v>13</v>
      </c>
      <c r="Y196" s="26">
        <f>W196+120</f>
        <v>43580</v>
      </c>
      <c r="Z196" s="167" t="s">
        <v>480</v>
      </c>
      <c r="AA196" s="167"/>
      <c r="AB196" s="15" t="s">
        <v>51</v>
      </c>
      <c r="AC196" s="26">
        <v>43893</v>
      </c>
      <c r="AD196" s="178"/>
      <c r="AE196" s="178"/>
      <c r="AF196" s="178"/>
      <c r="AG196" s="27" t="s">
        <v>1409</v>
      </c>
      <c r="AH196" s="31" t="s">
        <v>1430</v>
      </c>
      <c r="AI196" s="143">
        <v>43445</v>
      </c>
      <c r="AJ196" s="28">
        <v>12239151</v>
      </c>
      <c r="AK196" s="31" t="s">
        <v>385</v>
      </c>
      <c r="AL196" s="143">
        <v>43452</v>
      </c>
      <c r="AM196" s="31" t="s">
        <v>127</v>
      </c>
      <c r="AN196" s="31" t="s">
        <v>1431</v>
      </c>
      <c r="AO196" s="107" t="s">
        <v>352</v>
      </c>
      <c r="AP196" s="107">
        <v>0.9</v>
      </c>
      <c r="AQ196" s="163" t="s">
        <v>1432</v>
      </c>
      <c r="AR196" s="32">
        <v>4000001343</v>
      </c>
      <c r="AS196" s="27"/>
      <c r="AT196" s="31" t="s">
        <v>1433</v>
      </c>
    </row>
    <row r="197" spans="1:46" s="10" customFormat="1" ht="45" x14ac:dyDescent="0.25">
      <c r="A197" s="15" t="s">
        <v>1434</v>
      </c>
      <c r="B197" s="15" t="s">
        <v>1391</v>
      </c>
      <c r="C197" s="167" t="s">
        <v>1435</v>
      </c>
      <c r="D197" s="15" t="s">
        <v>978</v>
      </c>
      <c r="E197" s="167" t="s">
        <v>48</v>
      </c>
      <c r="F197" s="16" t="s">
        <v>1436</v>
      </c>
      <c r="G197" s="168" t="s">
        <v>1437</v>
      </c>
      <c r="H197" s="168"/>
      <c r="I197" s="49" t="s">
        <v>1438</v>
      </c>
      <c r="J197" s="168"/>
      <c r="K197" s="168"/>
      <c r="L197" s="168"/>
      <c r="M197" s="168">
        <v>75000000</v>
      </c>
      <c r="N197" s="104"/>
      <c r="O197" s="167" t="s">
        <v>1398</v>
      </c>
      <c r="P197" s="171">
        <v>0</v>
      </c>
      <c r="Q197" s="167"/>
      <c r="R197" s="179">
        <v>0</v>
      </c>
      <c r="S197" s="168">
        <f>+M197</f>
        <v>75000000</v>
      </c>
      <c r="T197" s="168"/>
      <c r="U197" s="26">
        <v>43445</v>
      </c>
      <c r="V197" s="26">
        <v>43445</v>
      </c>
      <c r="W197" s="26">
        <v>43465</v>
      </c>
      <c r="X197" s="168"/>
      <c r="Y197" s="168"/>
      <c r="Z197" s="38">
        <v>43525</v>
      </c>
      <c r="AA197" s="38"/>
      <c r="AB197" s="15" t="s">
        <v>51</v>
      </c>
      <c r="AC197" s="38">
        <v>43642</v>
      </c>
      <c r="AD197" s="168"/>
      <c r="AE197" s="168"/>
      <c r="AF197" s="168"/>
      <c r="AG197" s="36" t="s">
        <v>156</v>
      </c>
      <c r="AH197" s="36" t="s">
        <v>1439</v>
      </c>
      <c r="AI197" s="36"/>
      <c r="AJ197" s="36"/>
      <c r="AK197" s="36"/>
      <c r="AL197" s="36"/>
      <c r="AM197" s="57"/>
      <c r="AN197" s="36"/>
      <c r="AO197" s="36"/>
      <c r="AP197" s="36"/>
      <c r="AQ197" s="36"/>
      <c r="AR197" s="32">
        <v>5200000080</v>
      </c>
      <c r="AS197" s="36" t="s">
        <v>1381</v>
      </c>
      <c r="AT197" s="31"/>
    </row>
    <row r="198" spans="1:46" ht="33.75" x14ac:dyDescent="0.25">
      <c r="A198" s="15" t="s">
        <v>1440</v>
      </c>
      <c r="B198" s="15" t="s">
        <v>1391</v>
      </c>
      <c r="C198" s="15" t="s">
        <v>1441</v>
      </c>
      <c r="D198" s="15" t="s">
        <v>318</v>
      </c>
      <c r="E198" s="15" t="s">
        <v>794</v>
      </c>
      <c r="F198" s="16" t="s">
        <v>135</v>
      </c>
      <c r="G198" s="122" t="s">
        <v>1442</v>
      </c>
      <c r="H198" s="122"/>
      <c r="I198" s="16" t="s">
        <v>1443</v>
      </c>
      <c r="J198" s="104" t="s">
        <v>480</v>
      </c>
      <c r="K198" s="104" t="s">
        <v>480</v>
      </c>
      <c r="L198" s="104" t="s">
        <v>480</v>
      </c>
      <c r="M198" s="179">
        <v>20000000</v>
      </c>
      <c r="N198" s="104">
        <v>195918</v>
      </c>
      <c r="O198" s="167" t="s">
        <v>1398</v>
      </c>
      <c r="P198" s="171">
        <v>0</v>
      </c>
      <c r="Q198" s="122">
        <v>0</v>
      </c>
      <c r="R198" s="22">
        <v>18894118</v>
      </c>
      <c r="S198" s="55">
        <v>1105882</v>
      </c>
      <c r="T198" s="55">
        <v>1105882</v>
      </c>
      <c r="U198" s="26">
        <v>43455</v>
      </c>
      <c r="V198" s="26">
        <v>43455</v>
      </c>
      <c r="W198" s="26">
        <v>43464</v>
      </c>
      <c r="X198" s="104">
        <v>9</v>
      </c>
      <c r="Y198" s="26">
        <f>W198+120</f>
        <v>43584</v>
      </c>
      <c r="Z198" s="122"/>
      <c r="AA198" s="122"/>
      <c r="AB198" s="26" t="s">
        <v>51</v>
      </c>
      <c r="AC198" s="26">
        <v>43607</v>
      </c>
      <c r="AD198" s="26"/>
      <c r="AE198" s="26" t="s">
        <v>1311</v>
      </c>
      <c r="AF198" s="122"/>
      <c r="AG198" s="27" t="s">
        <v>1409</v>
      </c>
      <c r="AH198" s="27" t="s">
        <v>1444</v>
      </c>
      <c r="AI198" s="143">
        <v>43455</v>
      </c>
      <c r="AJ198" s="28">
        <v>1015398110</v>
      </c>
      <c r="AK198" s="31" t="s">
        <v>385</v>
      </c>
      <c r="AL198" s="31" t="s">
        <v>480</v>
      </c>
      <c r="AM198" s="31" t="s">
        <v>480</v>
      </c>
      <c r="AN198" s="31" t="s">
        <v>480</v>
      </c>
      <c r="AO198" s="31" t="s">
        <v>480</v>
      </c>
      <c r="AP198" s="31" t="s">
        <v>480</v>
      </c>
      <c r="AQ198" s="31" t="s">
        <v>480</v>
      </c>
      <c r="AR198" s="32">
        <v>4300002430</v>
      </c>
      <c r="AS198" s="46"/>
      <c r="AT198" s="31" t="s">
        <v>1445</v>
      </c>
    </row>
    <row r="199" spans="1:46" ht="15" x14ac:dyDescent="0.25">
      <c r="P199" s="180">
        <f>SUBTOTAL(9,P4:P198)</f>
        <v>21414202335</v>
      </c>
    </row>
  </sheetData>
  <autoFilter ref="A2:AT198" xr:uid="{00000000-0009-0000-0000-000004000000}"/>
  <mergeCells count="6">
    <mergeCell ref="AS29:AS34"/>
    <mergeCell ref="AT29:AT34"/>
    <mergeCell ref="AS35:AS36"/>
    <mergeCell ref="AS68:AS69"/>
    <mergeCell ref="AT68:AT71"/>
    <mergeCell ref="AS82:AS83"/>
  </mergeCells>
  <hyperlinks>
    <hyperlink ref="F118" r:id="rId1" display="https://community.secop.gov.co/Directory/CompanyProfiles/DynamicMyCompanyProfile/ViewProfile?companyCode=701365363" xr:uid="{70FAD116-258A-44F3-8B5C-E6BC5F0BD22B}"/>
  </hyperlinks>
  <printOptions horizontalCentered="1" verticalCentered="1"/>
  <pageMargins left="0.23622047244094491" right="0.23622047244094491" top="0.74803149606299213" bottom="0.74803149606299213" header="0.31496062992125984" footer="0.31496062992125984"/>
  <pageSetup scale="83"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VIGENCIA 2018</vt:lpstr>
      <vt:lpstr>'VIGENCIA 2018'!_Hlk532191300</vt:lpstr>
      <vt:lpstr>'VIGENCIA 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2021-08-18T17:36:05Z</dcterms:created>
  <dcterms:modified xsi:type="dcterms:W3CDTF">2021-08-18T17:36:16Z</dcterms:modified>
</cp:coreProperties>
</file>